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avid\Documents\Codex\2026-09-08\2-what-changed-report-analyzer-compare\outputs\sales-dashboard\"/>
    </mc:Choice>
  </mc:AlternateContent>
  <xr:revisionPtr revIDLastSave="0" documentId="13_ncr:1_{30F93EC6-1DCF-4A67-B5B9-6ABD50972E0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Dashboard" sheetId="1" r:id="rId1"/>
    <sheet name="Analysis" sheetId="2" r:id="rId2"/>
    <sheet name="Data" sheetId="3" r:id="rId3"/>
  </sheets>
  <definedNames>
    <definedName name="_xlnm.Print_Area" localSheetId="0">Dashboard!$A$1:$V$40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2" l="1"/>
  <c r="H43" i="2" s="1"/>
  <c r="L3" i="2"/>
  <c r="J3" i="2"/>
  <c r="H46" i="2" l="1"/>
  <c r="D3" i="2"/>
  <c r="D27" i="2" s="1"/>
  <c r="J39" i="2"/>
  <c r="H39" i="2"/>
  <c r="J42" i="2"/>
  <c r="G3" i="2"/>
  <c r="C32" i="2" s="1"/>
  <c r="B9" i="2"/>
  <c r="I46" i="2"/>
  <c r="G28" i="2"/>
  <c r="J46" i="2"/>
  <c r="B19" i="2"/>
  <c r="I39" i="2"/>
  <c r="B15" i="2"/>
  <c r="G31" i="2"/>
  <c r="B12" i="2"/>
  <c r="I43" i="2"/>
  <c r="I42" i="2"/>
  <c r="C27" i="2"/>
  <c r="J43" i="2"/>
  <c r="I44" i="2"/>
  <c r="J47" i="2"/>
  <c r="B11" i="2"/>
  <c r="H38" i="2"/>
  <c r="H40" i="2"/>
  <c r="J44" i="2"/>
  <c r="H48" i="2"/>
  <c r="B14" i="2"/>
  <c r="I38" i="2"/>
  <c r="I40" i="2"/>
  <c r="I48" i="2"/>
  <c r="B17" i="2"/>
  <c r="J38" i="2"/>
  <c r="J40" i="2"/>
  <c r="J48" i="2"/>
  <c r="B18" i="2"/>
  <c r="I47" i="2"/>
  <c r="B6" i="1"/>
  <c r="H45" i="2"/>
  <c r="B10" i="2"/>
  <c r="J41" i="2"/>
  <c r="J45" i="2"/>
  <c r="J49" i="2"/>
  <c r="H47" i="2"/>
  <c r="H44" i="2"/>
  <c r="B8" i="2"/>
  <c r="H41" i="2"/>
  <c r="H49" i="2"/>
  <c r="I41" i="2"/>
  <c r="I45" i="2"/>
  <c r="I49" i="2"/>
  <c r="B13" i="2"/>
  <c r="H42" i="2"/>
  <c r="B16" i="2"/>
  <c r="K34" i="2" l="1"/>
  <c r="G33" i="2"/>
  <c r="I33" i="2"/>
  <c r="K33" i="2"/>
  <c r="L33" i="2" s="1"/>
  <c r="G34" i="2"/>
  <c r="I26" i="2"/>
  <c r="I31" i="2"/>
  <c r="C33" i="2"/>
  <c r="D33" i="2"/>
  <c r="K18" i="2"/>
  <c r="I18" i="2"/>
  <c r="C18" i="2"/>
  <c r="J18" i="2"/>
  <c r="G18" i="2"/>
  <c r="H18" i="2" s="1"/>
  <c r="D18" i="2"/>
  <c r="E18" i="2" s="1"/>
  <c r="K9" i="2"/>
  <c r="L9" i="2" s="1"/>
  <c r="I9" i="2"/>
  <c r="G9" i="2"/>
  <c r="D9" i="2"/>
  <c r="C9" i="2"/>
  <c r="H9" i="2" s="1"/>
  <c r="K12" i="2"/>
  <c r="D12" i="2"/>
  <c r="I12" i="2"/>
  <c r="G12" i="2"/>
  <c r="C12" i="2"/>
  <c r="H12" i="2" s="1"/>
  <c r="I34" i="2"/>
  <c r="J34" i="2" s="1"/>
  <c r="D32" i="2"/>
  <c r="E32" i="2" s="1"/>
  <c r="F32" i="2" s="1"/>
  <c r="G32" i="2"/>
  <c r="H32" i="2" s="1"/>
  <c r="K31" i="2"/>
  <c r="C26" i="2"/>
  <c r="I27" i="2"/>
  <c r="J27" i="2" s="1"/>
  <c r="I15" i="2"/>
  <c r="C15" i="2"/>
  <c r="E15" i="2" s="1"/>
  <c r="F15" i="2" s="1"/>
  <c r="K15" i="2"/>
  <c r="L15" i="2" s="1"/>
  <c r="D15" i="2"/>
  <c r="G15" i="2"/>
  <c r="H15" i="2" s="1"/>
  <c r="D26" i="2"/>
  <c r="E27" i="2"/>
  <c r="F27" i="2" s="1"/>
  <c r="E33" i="2"/>
  <c r="F33" i="2" s="1"/>
  <c r="H33" i="2"/>
  <c r="G17" i="2"/>
  <c r="D17" i="2"/>
  <c r="C17" i="2"/>
  <c r="H17" i="2"/>
  <c r="L17" i="2"/>
  <c r="K17" i="2"/>
  <c r="I17" i="2"/>
  <c r="I8" i="2"/>
  <c r="G8" i="2"/>
  <c r="D8" i="2"/>
  <c r="C8" i="2"/>
  <c r="K8" i="2"/>
  <c r="L8" i="2" s="1"/>
  <c r="G14" i="2"/>
  <c r="D14" i="2"/>
  <c r="C14" i="2"/>
  <c r="K14" i="2"/>
  <c r="L14" i="2" s="1"/>
  <c r="I14" i="2"/>
  <c r="J14" i="2" s="1"/>
  <c r="C31" i="2"/>
  <c r="K27" i="2"/>
  <c r="L27" i="2" s="1"/>
  <c r="D31" i="2"/>
  <c r="K28" i="2"/>
  <c r="G26" i="2"/>
  <c r="K16" i="2"/>
  <c r="I16" i="2"/>
  <c r="G16" i="2"/>
  <c r="D16" i="2"/>
  <c r="C16" i="2"/>
  <c r="H16" i="2" s="1"/>
  <c r="I32" i="2"/>
  <c r="J32" i="2" s="1"/>
  <c r="E51" i="2"/>
  <c r="G27" i="2"/>
  <c r="H27" i="2" s="1"/>
  <c r="D10" i="2"/>
  <c r="C10" i="2"/>
  <c r="H10" i="2" s="1"/>
  <c r="J10" i="2"/>
  <c r="K10" i="2"/>
  <c r="G10" i="2"/>
  <c r="I10" i="2"/>
  <c r="C34" i="2"/>
  <c r="I28" i="2"/>
  <c r="D28" i="2"/>
  <c r="D34" i="2"/>
  <c r="G19" i="2"/>
  <c r="K19" i="2"/>
  <c r="I19" i="2"/>
  <c r="J19" i="2" s="1"/>
  <c r="D19" i="2"/>
  <c r="C19" i="2"/>
  <c r="H19" i="2" s="1"/>
  <c r="C28" i="2"/>
  <c r="C13" i="2"/>
  <c r="L13" i="2" s="1"/>
  <c r="K13" i="2"/>
  <c r="I13" i="2"/>
  <c r="G13" i="2"/>
  <c r="D13" i="2"/>
  <c r="I11" i="2"/>
  <c r="G11" i="2"/>
  <c r="D11" i="2"/>
  <c r="C11" i="2"/>
  <c r="H11" i="2" s="1"/>
  <c r="K11" i="2"/>
  <c r="L11" i="2" s="1"/>
  <c r="J11" i="2"/>
  <c r="K32" i="2"/>
  <c r="L32" i="2" s="1"/>
  <c r="K26" i="2"/>
  <c r="L18" i="2" l="1"/>
  <c r="J12" i="2"/>
  <c r="E11" i="2"/>
  <c r="F11" i="2" s="1"/>
  <c r="J16" i="2"/>
  <c r="L12" i="2"/>
  <c r="L26" i="2"/>
  <c r="E14" i="2"/>
  <c r="F14" i="2" s="1"/>
  <c r="E13" i="2"/>
  <c r="F13" i="2" s="1"/>
  <c r="H13" i="2"/>
  <c r="L28" i="2"/>
  <c r="J9" i="2"/>
  <c r="J33" i="2"/>
  <c r="J13" i="2"/>
  <c r="J17" i="2"/>
  <c r="J15" i="2"/>
  <c r="H14" i="2"/>
  <c r="L19" i="2"/>
  <c r="L16" i="2"/>
  <c r="J28" i="2"/>
  <c r="L10" i="2"/>
  <c r="M33" i="2"/>
  <c r="F19" i="2"/>
  <c r="F18" i="2"/>
  <c r="I21" i="2"/>
  <c r="H34" i="2"/>
  <c r="E34" i="2"/>
  <c r="F34" i="2" s="1"/>
  <c r="M34" i="2"/>
  <c r="E16" i="2"/>
  <c r="J8" i="2"/>
  <c r="F16" i="2"/>
  <c r="E12" i="2"/>
  <c r="F12" i="2" s="1"/>
  <c r="H31" i="2"/>
  <c r="L37" i="1" s="1"/>
  <c r="E31" i="2"/>
  <c r="F31" i="2" s="1"/>
  <c r="M31" i="2"/>
  <c r="E17" i="2"/>
  <c r="F17" i="2" s="1"/>
  <c r="J31" i="2"/>
  <c r="M32" i="2"/>
  <c r="L31" i="2"/>
  <c r="E9" i="2"/>
  <c r="F9" i="2" s="1"/>
  <c r="L34" i="2"/>
  <c r="C21" i="2"/>
  <c r="D21" i="2"/>
  <c r="E8" i="2"/>
  <c r="H8" i="2"/>
  <c r="G21" i="2"/>
  <c r="C23" i="2" s="1"/>
  <c r="Q9" i="1" s="1"/>
  <c r="E28" i="2"/>
  <c r="M28" i="2" s="1"/>
  <c r="H28" i="2"/>
  <c r="E10" i="2"/>
  <c r="F10" i="2"/>
  <c r="H26" i="2"/>
  <c r="E26" i="2"/>
  <c r="E19" i="2"/>
  <c r="K21" i="2"/>
  <c r="J26" i="2"/>
  <c r="H21" i="2" l="1"/>
  <c r="Q11" i="1" s="1"/>
  <c r="E21" i="2"/>
  <c r="C51" i="2"/>
  <c r="F21" i="2"/>
  <c r="L9" i="1" s="1"/>
  <c r="C52" i="2"/>
  <c r="B9" i="1"/>
  <c r="L21" i="2"/>
  <c r="F28" i="2"/>
  <c r="M26" i="2"/>
  <c r="E68" i="2"/>
  <c r="E58" i="2"/>
  <c r="E63" i="2" s="1"/>
  <c r="J21" i="2"/>
  <c r="B11" i="1" s="1"/>
  <c r="E59" i="2"/>
  <c r="E60" i="2" s="1"/>
  <c r="F26" i="2"/>
  <c r="M27" i="2"/>
  <c r="C46" i="2"/>
  <c r="B46" i="2"/>
  <c r="C44" i="2"/>
  <c r="C45" i="2"/>
  <c r="B45" i="2"/>
  <c r="C47" i="2"/>
  <c r="B47" i="2"/>
  <c r="B44" i="2"/>
  <c r="F8" i="2"/>
  <c r="E61" i="2" l="1"/>
  <c r="E66" i="2"/>
  <c r="E65" i="2"/>
  <c r="G11" i="1" s="1"/>
  <c r="F39" i="2"/>
  <c r="T31" i="1" s="1"/>
  <c r="E39" i="2"/>
  <c r="R31" i="1" s="1"/>
  <c r="E38" i="2"/>
  <c r="R29" i="1" s="1"/>
  <c r="D38" i="2"/>
  <c r="D39" i="2"/>
  <c r="C39" i="2"/>
  <c r="P31" i="1" s="1"/>
  <c r="B39" i="2"/>
  <c r="L31" i="1" s="1"/>
  <c r="D40" i="2"/>
  <c r="F40" i="2"/>
  <c r="T33" i="1" s="1"/>
  <c r="F38" i="2"/>
  <c r="T29" i="1" s="1"/>
  <c r="E40" i="2"/>
  <c r="R33" i="1" s="1"/>
  <c r="C38" i="2"/>
  <c r="P29" i="1" s="1"/>
  <c r="B38" i="2"/>
  <c r="L29" i="1" s="1"/>
  <c r="C40" i="2"/>
  <c r="P33" i="1" s="1"/>
  <c r="B40" i="2"/>
  <c r="L33" i="1" s="1"/>
  <c r="E62" i="2"/>
  <c r="E64" i="2" s="1"/>
  <c r="L36" i="1" s="1"/>
  <c r="D51" i="2"/>
  <c r="D52" i="2"/>
  <c r="G9" i="1"/>
  <c r="E69" i="2" l="1"/>
  <c r="E70" i="2"/>
  <c r="E72" i="2"/>
  <c r="H75" i="2" s="1"/>
  <c r="E67" i="2"/>
  <c r="L11" i="1" s="1"/>
  <c r="E71" i="2"/>
  <c r="H74" i="2" s="1"/>
  <c r="H79" i="2" l="1"/>
  <c r="H80" i="2"/>
</calcChain>
</file>

<file path=xl/sharedStrings.xml><?xml version="1.0" encoding="utf-8"?>
<sst xmlns="http://schemas.openxmlformats.org/spreadsheetml/2006/main" count="2035" uniqueCount="97">
  <si>
    <t>Sales &amp; profitability</t>
  </si>
  <si>
    <t>Northstar Supply (fictional) · Synthetic portfolio example · USD</t>
  </si>
  <si>
    <t>Year</t>
  </si>
  <si>
    <t>Quarter</t>
  </si>
  <si>
    <t>Full year</t>
  </si>
  <si>
    <t>Region</t>
  </si>
  <si>
    <t>All</t>
  </si>
  <si>
    <t>Channel</t>
  </si>
  <si>
    <t>Revenue</t>
  </si>
  <si>
    <t>Gross profit</t>
  </si>
  <si>
    <t>Gross margin</t>
  </si>
  <si>
    <t>Plan attainment</t>
  </si>
  <si>
    <t>Category performance</t>
  </si>
  <si>
    <t>Category</t>
  </si>
  <si>
    <t>Margin</t>
  </si>
  <si>
    <t>Vs plan</t>
  </si>
  <si>
    <t>Gross profit excludes overhead and tax. Analysis contains the formulas; Data contains 576 fictional monthly records.</t>
  </si>
  <si>
    <t>Year, quarter, region and channel filters are independent of the Data table filters. No 2023 data is included.</t>
  </si>
  <si>
    <t>Sales analysis</t>
  </si>
  <si>
    <t>Period start</t>
  </si>
  <si>
    <t>Period end</t>
  </si>
  <si>
    <t>Valid filters</t>
  </si>
  <si>
    <t>End date is exclusive. No prior-year records exist for 2024. Gross margin uses total profit ÷ total revenue.</t>
  </si>
  <si>
    <t>Period</t>
  </si>
  <si>
    <t>COGS</t>
  </si>
  <si>
    <t>Revenue plan</t>
  </si>
  <si>
    <t>Plan variance</t>
  </si>
  <si>
    <t>Prior revenue</t>
  </si>
  <si>
    <t>Revenue YoY</t>
  </si>
  <si>
    <t>Orders</t>
  </si>
  <si>
    <t>Avg order</t>
  </si>
  <si>
    <t>Selected total</t>
  </si>
  <si>
    <t>Profit rank</t>
  </si>
  <si>
    <t>Essentials</t>
  </si>
  <si>
    <t>Furniture</t>
  </si>
  <si>
    <t>Technology</t>
  </si>
  <si>
    <t>Revenue rank</t>
  </si>
  <si>
    <t>East</t>
  </si>
  <si>
    <t>North</t>
  </si>
  <si>
    <t>South</t>
  </si>
  <si>
    <t>West</t>
  </si>
  <si>
    <t>Month</t>
  </si>
  <si>
    <t>Plan</t>
  </si>
  <si>
    <t>Reconciliation</t>
  </si>
  <si>
    <t>Revenue difference</t>
  </si>
  <si>
    <t>Profit difference</t>
  </si>
  <si>
    <t>Record count</t>
  </si>
  <si>
    <t>Categories vs total</t>
  </si>
  <si>
    <t>Regions vs total</t>
  </si>
  <si>
    <t>Sample sales data</t>
  </si>
  <si>
    <t>Source: generated fictional monthly sales for Northstar Supply. No client or personal data.</t>
  </si>
  <si>
    <t>One row = month × region × category × channel. USD. 2024–2025 complete calendar years.</t>
  </si>
  <si>
    <t>Gross profit = gross sales − discounts − cost of goods sold. Operating expenses and tax are excluded.</t>
  </si>
  <si>
    <t>Editable source columns are blue. This demonstration uses 576 rows; extend Analysis ranges to add records.</t>
  </si>
  <si>
    <t>Units</t>
  </si>
  <si>
    <t>Gross sales</t>
  </si>
  <si>
    <t>Discounts</t>
  </si>
  <si>
    <t>Direct</t>
  </si>
  <si>
    <t>Online</t>
  </si>
  <si>
    <t>Net revenue</t>
  </si>
  <si>
    <t>Ranked by gross profit · revenue variance vs plan</t>
  </si>
  <si>
    <t>Revenue effect + margin effect = change in gross profit.</t>
  </si>
  <si>
    <t>Net revenue = gross sales less discounts. Gross profit = net revenue less COGS; overhead and tax are excluded.</t>
  </si>
  <si>
    <t>576 fictional records · 2024–2025 · pp = percentage points · No 2023 comparison · Calculations in Analysis; sources in Data.</t>
  </si>
  <si>
    <t>Growth &amp; profitability drivers | selected period vs prior year</t>
  </si>
  <si>
    <t>Prior-year orders</t>
  </si>
  <si>
    <t>How to read the drivers</t>
  </si>
  <si>
    <t>Prior-year COGS</t>
  </si>
  <si>
    <t>Prior-year gross profit</t>
  </si>
  <si>
    <t>Orders effect: order change × prior revenue per order.</t>
  </si>
  <si>
    <t>Prior-year gross margin</t>
  </si>
  <si>
    <t>Order-value effect: current orders × change in revenue per order.</t>
  </si>
  <si>
    <t>Prior-year revenue / order</t>
  </si>
  <si>
    <t>Order growth</t>
  </si>
  <si>
    <t>Revenue effect: revenue change × prior gross margin.</t>
  </si>
  <si>
    <t>Revenue / order growth</t>
  </si>
  <si>
    <t>Margin effect: current revenue × change in gross margin.</t>
  </si>
  <si>
    <t>Gross profit growth</t>
  </si>
  <si>
    <t>Gross profit change</t>
  </si>
  <si>
    <t>These are arithmetic contributions, not proven causes.</t>
  </si>
  <si>
    <t>Margin change (pp)</t>
  </si>
  <si>
    <t>Order value combines price, discount, basket and category mix.</t>
  </si>
  <si>
    <t>Net revenue change</t>
  </si>
  <si>
    <t>Revenue from order count</t>
  </si>
  <si>
    <t>pp = percentage points. Prior year = matching months and filters.</t>
  </si>
  <si>
    <t>Revenue from order value</t>
  </si>
  <si>
    <t>2024 has no prior-year comparison in this sample.</t>
  </si>
  <si>
    <t>Profit from revenue growth</t>
  </si>
  <si>
    <t>Profit from margin change</t>
  </si>
  <si>
    <t>Profit driver</t>
  </si>
  <si>
    <t>Contribution</t>
  </si>
  <si>
    <t>Revenue growth</t>
  </si>
  <si>
    <t>Margin change</t>
  </si>
  <si>
    <t>Checks</t>
  </si>
  <si>
    <t>Difference</t>
  </si>
  <si>
    <t>Revenue check</t>
  </si>
  <si>
    <t>Profit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</si>
</sst>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;\(#,##0\);&quot;—&quot;"/>
    <numFmt numFmtId="165" formatCode="\$#,##0;\(\$#,##0\);&quot;—&quot;"/>
    <numFmt numFmtId="166" formatCode="mmm"/>
    <numFmt numFmtId="167" formatCode="0.0%;\(0.0%\);&quot;—&quot;"/>
    <numFmt numFmtId="168" formatCode="\$0.00,,&quot;M&quot;"/>
    <numFmt numFmtId="169" formatCode="\$0,&quot;K&quot;;\(\$0,&quot;K&quot;\);&quot;—&quot;"/>
    <numFmt numFmtId="170" formatCode="0.0%"/>
    <numFmt numFmtId="171" formatCode="\$#,##0"/>
    <numFmt numFmtId="172" formatCode="\$0.00"/>
    <numFmt numFmtId="173" formatCode="\+0.0%;\-0.0%;0.0%"/>
    <numFmt numFmtId="174" formatCode="\+\$#,##0;\-\$#,##0;\$0"/>
    <numFmt numFmtId="175" formatCode="\+0.0&quot; pp&quot;;\-0.0&quot; pp&quot;;0.0&quot; pp&quot;"/>
  </numFmts>
  <fonts count="22">
    <font>
      <sz val="11"/>
      <name val="Carlito"/>
    </font>
    <font>
      <sz val="11"/>
      <color rgb="FF172B47"/>
      <name val="Arial"/>
    </font>
    <font>
      <b/>
      <sz val="17"/>
      <color rgb="FF172B47"/>
      <name val="Arial"/>
    </font>
    <font>
      <sz val="11"/>
      <color rgb="FF60738A"/>
      <name val="Arial"/>
    </font>
    <font>
      <sz val="11"/>
      <color rgb="FF3267CF"/>
      <name val="Arial"/>
    </font>
    <font>
      <b/>
      <sz val="11"/>
      <color rgb="FFFFFFFF"/>
      <name val="Arial"/>
    </font>
    <font>
      <b/>
      <sz val="11"/>
      <color rgb="FF172B47"/>
      <name val="Arial"/>
    </font>
    <font>
      <b/>
      <sz val="18"/>
      <color rgb="FF142238"/>
      <name val="Arial"/>
    </font>
    <font>
      <b/>
      <sz val="10"/>
      <color rgb="FF142238"/>
      <name val="Arial"/>
    </font>
    <font>
      <sz val="10"/>
      <color rgb="FF142238"/>
      <name val="Arial"/>
    </font>
    <font>
      <b/>
      <sz val="12"/>
      <color rgb="FF142238"/>
      <name val="Arial"/>
    </font>
    <font>
      <b/>
      <sz val="10"/>
      <color rgb="FFFFFFFF"/>
      <name val="Arial"/>
    </font>
    <font>
      <b/>
      <sz val="21"/>
      <color rgb="FF18283E"/>
      <name val="Arial"/>
    </font>
    <font>
      <b/>
      <sz val="10"/>
      <color rgb="FF18283E"/>
      <name val="Arial"/>
    </font>
    <font>
      <sz val="10"/>
      <color rgb="FF34455B"/>
      <name val="Arial"/>
    </font>
    <font>
      <sz val="11"/>
      <color rgb="FF34455B"/>
      <name val="Arial"/>
    </font>
    <font>
      <sz val="9"/>
      <color rgb="FF34455B"/>
      <name val="Arial"/>
    </font>
    <font>
      <b/>
      <sz val="10"/>
      <color rgb="FF244D90"/>
      <name val="Arial"/>
    </font>
    <font>
      <b/>
      <sz val="12"/>
      <color rgb="FFFFFFFF"/>
      <name val="Arial"/>
    </font>
    <font>
      <sz val="11"/>
      <color rgb="FF18283E"/>
      <name val="Arial"/>
    </font>
    <font>
      <b/>
      <sz val="11"/>
      <color rgb="FF18283E"/>
      <name val="Arial"/>
    </font>
    <font>
      <sz val="10"/>
      <color rgb="FF18283E"/>
      <name val="Arial"/>
    </font>
  </fonts>
  <fills count="8">
    <fill>
      <patternFill patternType="none"/>
    </fill>
    <fill>
      <patternFill patternType="gray125"/>
    </fill>
    <fill>
      <patternFill patternType="solid">
        <fgColor rgb="FF172B47"/>
      </patternFill>
    </fill>
    <fill>
      <patternFill patternType="solid">
        <fgColor rgb="FFE8EEF8"/>
      </patternFill>
    </fill>
    <fill>
      <patternFill patternType="solid">
        <fgColor rgb="FFFFFFFF"/>
      </patternFill>
    </fill>
    <fill>
      <patternFill patternType="solid">
        <fgColor rgb="FFF2F5F8"/>
      </patternFill>
    </fill>
    <fill>
      <patternFill patternType="solid">
        <fgColor rgb="FF18283E"/>
      </patternFill>
    </fill>
    <fill>
      <patternFill patternType="solid">
        <fgColor rgb="FFEAF2FF"/>
      </patternFill>
    </fill>
  </fills>
  <borders count="27">
    <border>
      <left/>
      <right/>
      <top/>
      <bottom/>
      <diagonal/>
    </border>
    <border>
      <left/>
      <right/>
      <top style="thin">
        <color rgb="FF172B47"/>
      </top>
      <bottom/>
      <diagonal/>
    </border>
    <border>
      <left/>
      <right/>
      <top style="thin">
        <color rgb="FFDDE4EE"/>
      </top>
      <bottom/>
      <diagonal/>
    </border>
    <border>
      <left style="medium">
        <color rgb="FF3565C9"/>
      </left>
      <right/>
      <top/>
      <bottom/>
      <diagonal/>
    </border>
    <border>
      <left/>
      <right/>
      <top/>
      <bottom style="thin">
        <color rgb="FFA6BEE0"/>
      </bottom>
      <diagonal/>
    </border>
    <border>
      <left style="medium">
        <color rgb="FF3565C9"/>
      </left>
      <right/>
      <top/>
      <bottom style="thin">
        <color rgb="FFA6BEE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A6BEE0"/>
      </bottom>
      <diagonal/>
    </border>
    <border>
      <left/>
      <right/>
      <top/>
      <bottom style="thin">
        <color rgb="FFA6BEE0"/>
      </bottom>
      <diagonal/>
    </border>
    <border>
      <left/>
      <right/>
      <top/>
      <bottom style="thin">
        <color rgb="FFA6BEE0"/>
      </bottom>
      <diagonal/>
    </border>
    <border>
      <left/>
      <right/>
      <top/>
      <bottom style="thin">
        <color rgb="FFA6BEE0"/>
      </bottom>
      <diagonal/>
    </border>
    <border>
      <left/>
      <right/>
      <top/>
      <bottom style="thin">
        <color rgb="FFA6BEE0"/>
      </bottom>
      <diagonal/>
    </border>
    <border>
      <left/>
      <right/>
      <top/>
      <bottom style="thin">
        <color rgb="FFA6BEE0"/>
      </bottom>
      <diagonal/>
    </border>
    <border>
      <left/>
      <right/>
      <top/>
      <bottom style="thin">
        <color rgb="FFD4E2F3"/>
      </bottom>
      <diagonal/>
    </border>
    <border>
      <left/>
      <right/>
      <top/>
      <bottom style="thin">
        <color rgb="FFD4E2F3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vertical="center"/>
    </xf>
    <xf numFmtId="17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167" fontId="1" fillId="0" borderId="0" xfId="0" applyNumberFormat="1" applyFont="1" applyAlignment="1">
      <alignment vertical="center"/>
    </xf>
    <xf numFmtId="0" fontId="6" fillId="3" borderId="1" xfId="0" applyFont="1" applyFill="1" applyBorder="1" applyAlignment="1">
      <alignment vertical="center"/>
    </xf>
    <xf numFmtId="165" fontId="6" fillId="3" borderId="1" xfId="0" applyNumberFormat="1" applyFont="1" applyFill="1" applyBorder="1" applyAlignment="1">
      <alignment vertical="center"/>
    </xf>
    <xf numFmtId="167" fontId="6" fillId="3" borderId="1" xfId="0" applyNumberFormat="1" applyFont="1" applyFill="1" applyBorder="1" applyAlignment="1">
      <alignment vertical="center"/>
    </xf>
    <xf numFmtId="164" fontId="6" fillId="3" borderId="1" xfId="0" applyNumberFormat="1" applyFont="1" applyFill="1" applyBorder="1" applyAlignment="1">
      <alignment vertical="center"/>
    </xf>
    <xf numFmtId="2" fontId="1" fillId="0" borderId="0" xfId="0" applyNumberFormat="1" applyFont="1" applyAlignment="1">
      <alignment vertical="center"/>
    </xf>
    <xf numFmtId="0" fontId="9" fillId="4" borderId="0" xfId="0" applyFont="1" applyFill="1" applyAlignment="1">
      <alignment vertical="center"/>
    </xf>
    <xf numFmtId="0" fontId="11" fillId="6" borderId="6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17" fontId="1" fillId="4" borderId="10" xfId="0" applyNumberFormat="1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164" fontId="4" fillId="4" borderId="11" xfId="0" applyNumberFormat="1" applyFont="1" applyFill="1" applyBorder="1" applyAlignment="1">
      <alignment vertical="center"/>
    </xf>
    <xf numFmtId="165" fontId="4" fillId="4" borderId="11" xfId="0" applyNumberFormat="1" applyFont="1" applyFill="1" applyBorder="1" applyAlignment="1">
      <alignment vertical="center"/>
    </xf>
    <xf numFmtId="165" fontId="4" fillId="4" borderId="12" xfId="0" applyNumberFormat="1" applyFont="1" applyFill="1" applyBorder="1" applyAlignment="1">
      <alignment vertical="center"/>
    </xf>
    <xf numFmtId="17" fontId="1" fillId="5" borderId="13" xfId="0" applyNumberFormat="1" applyFont="1" applyFill="1" applyBorder="1" applyAlignment="1">
      <alignment vertical="center"/>
    </xf>
    <xf numFmtId="0" fontId="1" fillId="5" borderId="14" xfId="0" applyFont="1" applyFill="1" applyBorder="1" applyAlignment="1">
      <alignment vertical="center"/>
    </xf>
    <xf numFmtId="164" fontId="4" fillId="5" borderId="14" xfId="0" applyNumberFormat="1" applyFont="1" applyFill="1" applyBorder="1" applyAlignment="1">
      <alignment vertical="center"/>
    </xf>
    <xf numFmtId="165" fontId="4" fillId="5" borderId="14" xfId="0" applyNumberFormat="1" applyFont="1" applyFill="1" applyBorder="1" applyAlignment="1">
      <alignment vertical="center"/>
    </xf>
    <xf numFmtId="165" fontId="4" fillId="5" borderId="15" xfId="0" applyNumberFormat="1" applyFont="1" applyFill="1" applyBorder="1" applyAlignment="1">
      <alignment vertical="center"/>
    </xf>
    <xf numFmtId="17" fontId="1" fillId="4" borderId="13" xfId="0" applyNumberFormat="1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164" fontId="4" fillId="4" borderId="14" xfId="0" applyNumberFormat="1" applyFont="1" applyFill="1" applyBorder="1" applyAlignment="1">
      <alignment vertical="center"/>
    </xf>
    <xf numFmtId="165" fontId="4" fillId="4" borderId="14" xfId="0" applyNumberFormat="1" applyFont="1" applyFill="1" applyBorder="1" applyAlignment="1">
      <alignment vertical="center"/>
    </xf>
    <xf numFmtId="165" fontId="4" fillId="4" borderId="15" xfId="0" applyNumberFormat="1" applyFont="1" applyFill="1" applyBorder="1" applyAlignment="1">
      <alignment vertical="center"/>
    </xf>
    <xf numFmtId="17" fontId="1" fillId="5" borderId="16" xfId="0" applyNumberFormat="1" applyFont="1" applyFill="1" applyBorder="1" applyAlignment="1">
      <alignment vertical="center"/>
    </xf>
    <xf numFmtId="0" fontId="1" fillId="5" borderId="17" xfId="0" applyFont="1" applyFill="1" applyBorder="1" applyAlignment="1">
      <alignment vertical="center"/>
    </xf>
    <xf numFmtId="164" fontId="4" fillId="5" borderId="17" xfId="0" applyNumberFormat="1" applyFont="1" applyFill="1" applyBorder="1" applyAlignment="1">
      <alignment vertical="center"/>
    </xf>
    <xf numFmtId="165" fontId="4" fillId="5" borderId="17" xfId="0" applyNumberFormat="1" applyFont="1" applyFill="1" applyBorder="1" applyAlignment="1">
      <alignment vertical="center"/>
    </xf>
    <xf numFmtId="165" fontId="4" fillId="5" borderId="18" xfId="0" applyNumberFormat="1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7" fillId="7" borderId="9" xfId="0" applyFont="1" applyFill="1" applyBorder="1" applyAlignment="1">
      <alignment horizontal="center" vertical="center"/>
    </xf>
    <xf numFmtId="3" fontId="19" fillId="0" borderId="0" xfId="0" applyNumberFormat="1" applyFont="1"/>
    <xf numFmtId="171" fontId="19" fillId="0" borderId="0" xfId="0" applyNumberFormat="1" applyFont="1"/>
    <xf numFmtId="170" fontId="19" fillId="0" borderId="0" xfId="0" applyNumberFormat="1" applyFont="1"/>
    <xf numFmtId="172" fontId="19" fillId="0" borderId="0" xfId="0" applyNumberFormat="1" applyFont="1"/>
    <xf numFmtId="173" fontId="19" fillId="0" borderId="0" xfId="0" applyNumberFormat="1" applyFont="1"/>
    <xf numFmtId="174" fontId="19" fillId="0" borderId="0" xfId="0" applyNumberFormat="1" applyFont="1"/>
    <xf numFmtId="175" fontId="19" fillId="0" borderId="0" xfId="0" applyNumberFormat="1" applyFont="1"/>
    <xf numFmtId="0" fontId="21" fillId="0" borderId="0" xfId="0" applyFont="1"/>
    <xf numFmtId="174" fontId="21" fillId="0" borderId="0" xfId="0" applyNumberFormat="1" applyFont="1"/>
    <xf numFmtId="2" fontId="21" fillId="0" borderId="0" xfId="0" applyNumberFormat="1" applyFont="1"/>
    <xf numFmtId="0" fontId="13" fillId="7" borderId="0" xfId="0" applyFont="1" applyFill="1"/>
    <xf numFmtId="0" fontId="14" fillId="4" borderId="5" xfId="0" applyFont="1" applyFill="1" applyBorder="1" applyAlignment="1">
      <alignment vertical="center"/>
    </xf>
    <xf numFmtId="0" fontId="14" fillId="4" borderId="4" xfId="0" applyFont="1" applyFill="1" applyBorder="1" applyAlignment="1">
      <alignment vertical="center"/>
    </xf>
    <xf numFmtId="0" fontId="16" fillId="4" borderId="2" xfId="0" applyFont="1" applyFill="1" applyBorder="1" applyAlignment="1">
      <alignment vertical="center"/>
    </xf>
    <xf numFmtId="0" fontId="16" fillId="4" borderId="0" xfId="0" applyFont="1" applyFill="1" applyAlignment="1">
      <alignment vertical="center"/>
    </xf>
    <xf numFmtId="0" fontId="9" fillId="4" borderId="10" xfId="0" applyFont="1" applyFill="1" applyBorder="1" applyAlignment="1">
      <alignment vertical="center"/>
    </xf>
    <xf numFmtId="0" fontId="9" fillId="4" borderId="11" xfId="0" applyFont="1" applyFill="1" applyBorder="1" applyAlignment="1">
      <alignment vertical="center"/>
    </xf>
    <xf numFmtId="0" fontId="9" fillId="4" borderId="25" xfId="0" applyFont="1" applyFill="1" applyBorder="1" applyAlignment="1">
      <alignment vertical="center"/>
    </xf>
    <xf numFmtId="0" fontId="9" fillId="4" borderId="26" xfId="0" applyFont="1" applyFill="1" applyBorder="1" applyAlignment="1">
      <alignment vertical="center"/>
    </xf>
    <xf numFmtId="168" fontId="9" fillId="4" borderId="11" xfId="0" applyNumberFormat="1" applyFont="1" applyFill="1" applyBorder="1" applyAlignment="1">
      <alignment horizontal="right" vertical="center"/>
    </xf>
    <xf numFmtId="0" fontId="9" fillId="4" borderId="11" xfId="0" applyFont="1" applyFill="1" applyBorder="1" applyAlignment="1">
      <alignment horizontal="right" vertical="center"/>
    </xf>
    <xf numFmtId="0" fontId="9" fillId="4" borderId="26" xfId="0" applyFont="1" applyFill="1" applyBorder="1" applyAlignment="1">
      <alignment horizontal="right" vertical="center"/>
    </xf>
    <xf numFmtId="170" fontId="9" fillId="4" borderId="11" xfId="0" applyNumberFormat="1" applyFont="1" applyFill="1" applyBorder="1" applyAlignment="1">
      <alignment horizontal="right" vertical="center"/>
    </xf>
    <xf numFmtId="169" fontId="9" fillId="4" borderId="11" xfId="0" applyNumberFormat="1" applyFont="1" applyFill="1" applyBorder="1" applyAlignment="1">
      <alignment horizontal="right" vertical="center"/>
    </xf>
    <xf numFmtId="0" fontId="9" fillId="4" borderId="12" xfId="0" applyFont="1" applyFill="1" applyBorder="1" applyAlignment="1">
      <alignment horizontal="right" vertical="center"/>
    </xf>
    <xf numFmtId="0" fontId="8" fillId="4" borderId="3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6" fillId="4" borderId="19" xfId="0" applyFont="1" applyFill="1" applyBorder="1" applyAlignment="1">
      <alignment vertical="center"/>
    </xf>
    <xf numFmtId="0" fontId="16" fillId="4" borderId="20" xfId="0" applyFont="1" applyFill="1" applyBorder="1" applyAlignment="1">
      <alignment vertical="center"/>
    </xf>
    <xf numFmtId="0" fontId="16" fillId="4" borderId="21" xfId="0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0" fontId="13" fillId="7" borderId="22" xfId="0" applyFont="1" applyFill="1" applyBorder="1" applyAlignment="1">
      <alignment vertical="center"/>
    </xf>
    <xf numFmtId="0" fontId="13" fillId="7" borderId="23" xfId="0" applyFont="1" applyFill="1" applyBorder="1" applyAlignment="1">
      <alignment vertical="center"/>
    </xf>
    <xf numFmtId="0" fontId="13" fillId="7" borderId="24" xfId="0" applyFont="1" applyFill="1" applyBorder="1" applyAlignment="1">
      <alignment vertical="center"/>
    </xf>
    <xf numFmtId="0" fontId="14" fillId="4" borderId="10" xfId="0" applyFont="1" applyFill="1" applyBorder="1" applyAlignment="1">
      <alignment vertical="center"/>
    </xf>
    <xf numFmtId="0" fontId="14" fillId="4" borderId="11" xfId="0" applyFont="1" applyFill="1" applyBorder="1" applyAlignment="1">
      <alignment vertical="center"/>
    </xf>
    <xf numFmtId="0" fontId="14" fillId="4" borderId="12" xfId="0" applyFont="1" applyFill="1" applyBorder="1" applyAlignment="1">
      <alignment vertical="center"/>
    </xf>
    <xf numFmtId="168" fontId="12" fillId="4" borderId="13" xfId="0" applyNumberFormat="1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12" fillId="4" borderId="15" xfId="0" applyFont="1" applyFill="1" applyBorder="1" applyAlignment="1">
      <alignment horizontal="left" vertical="center"/>
    </xf>
    <xf numFmtId="0" fontId="12" fillId="4" borderId="13" xfId="0" applyFont="1" applyFill="1" applyBorder="1" applyAlignment="1">
      <alignment horizontal="left" vertical="center"/>
    </xf>
    <xf numFmtId="167" fontId="12" fillId="4" borderId="13" xfId="0" applyNumberFormat="1" applyFont="1" applyFill="1" applyBorder="1" applyAlignment="1">
      <alignment horizontal="left" vertical="center"/>
    </xf>
    <xf numFmtId="0" fontId="7" fillId="4" borderId="0" xfId="0" applyFont="1" applyFill="1" applyAlignment="1">
      <alignment vertical="center"/>
    </xf>
    <xf numFmtId="0" fontId="14" fillId="4" borderId="6" xfId="0" applyFont="1" applyFill="1" applyBorder="1" applyAlignment="1">
      <alignment vertical="center"/>
    </xf>
    <xf numFmtId="0" fontId="14" fillId="4" borderId="7" xfId="0" applyFont="1" applyFill="1" applyBorder="1" applyAlignment="1">
      <alignment vertical="center"/>
    </xf>
    <xf numFmtId="0" fontId="14" fillId="4" borderId="8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8" fillId="6" borderId="0" xfId="0" applyFont="1" applyFill="1"/>
    <xf numFmtId="0" fontId="19" fillId="0" borderId="0" xfId="0" applyFont="1"/>
    <xf numFmtId="0" fontId="20" fillId="0" borderId="0" xfId="0" applyFont="1"/>
    <xf numFmtId="0" fontId="14" fillId="0" borderId="0" xfId="0" applyFont="1"/>
  </cellXfs>
  <cellStyles count="1">
    <cellStyle name="Normal" xfId="0" builtinId="0"/>
  </cellStyles>
  <dxfs count="19">
    <dxf>
      <font>
        <color rgb="FF267354"/>
      </font>
    </dxf>
    <dxf>
      <font>
        <color rgb="FFA63F3F"/>
      </font>
      <fill>
        <patternFill>
          <bgColor rgb="FFFFF0EF"/>
        </patternFill>
      </fill>
    </dxf>
    <dxf>
      <font>
        <color rgb="FF267354"/>
      </font>
    </dxf>
    <dxf>
      <font>
        <color rgb="FFA63F3F"/>
      </font>
      <fill>
        <patternFill>
          <bgColor rgb="FFFFF0EF"/>
        </patternFill>
      </fill>
    </dxf>
    <dxf>
      <font>
        <color rgb="FF267354"/>
      </font>
    </dxf>
    <dxf>
      <font>
        <color rgb="FFA63F3F"/>
      </font>
      <fill>
        <patternFill>
          <bgColor rgb="FFFFF0EF"/>
        </patternFill>
      </fill>
    </dxf>
    <dxf>
      <font>
        <b/>
        <color rgb="FFA63F3F"/>
      </font>
      <fill>
        <patternFill>
          <bgColor rgb="FFFFF0EF"/>
        </patternFill>
      </fill>
    </dxf>
    <dxf>
      <font>
        <color rgb="FF267354"/>
      </font>
    </dxf>
    <dxf>
      <font>
        <color rgb="FFA63F3F"/>
      </font>
      <fill>
        <patternFill>
          <bgColor rgb="FFFFF0EF"/>
        </patternFill>
      </fill>
    </dxf>
    <dxf>
      <font>
        <color rgb="FF267354"/>
      </font>
    </dxf>
    <dxf>
      <font>
        <color rgb="FFA63F3F"/>
      </font>
      <fill>
        <patternFill>
          <bgColor rgb="FFFFF0EF"/>
        </patternFill>
      </fill>
    </dxf>
    <dxf>
      <font>
        <color rgb="FF267354"/>
      </font>
    </dxf>
    <dxf>
      <font>
        <color rgb="FFA63F3F"/>
      </font>
      <fill>
        <patternFill>
          <bgColor rgb="FFFFF0EF"/>
        </patternFill>
      </fill>
    </dxf>
    <dxf>
      <font>
        <color rgb="FF2E7568"/>
      </font>
    </dxf>
    <dxf>
      <font>
        <color rgb="FFA45344"/>
      </font>
    </dxf>
    <dxf>
      <font>
        <color rgb="FF2E7568"/>
      </font>
    </dxf>
    <dxf>
      <font>
        <color rgb="FFA45344"/>
      </font>
    </dxf>
    <dxf>
      <font>
        <color rgb="FF2E7568"/>
      </font>
    </dxf>
    <dxf>
      <font>
        <color rgb="FFA4534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 sz="1100" b="1">
                <a:solidFill>
                  <a:srgbClr val="18283E"/>
                </a:solidFill>
                <a:latin typeface="Arial" panose="020B0604020202020204" pitchFamily="34" charset="0"/>
              </a:rPr>
              <a:t>Revenue vs plan · full year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Revenue</c:v>
          </c:tx>
          <c:spPr>
            <a:ln w="23813">
              <a:solidFill>
                <a:srgbClr val="3565C9"/>
              </a:solidFill>
            </a:ln>
          </c:spPr>
          <c:marker>
            <c:symbol val="none"/>
          </c:marker>
          <c:cat>
            <c:strRef>
              <c:f>Analysis!$H$38:$H$49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Analysis!$I$38:$I$49</c:f>
              <c:numCache>
                <c:formatCode>\$#,##0;\(\$#,##0\);"—"</c:formatCode>
                <c:ptCount val="12"/>
                <c:pt idx="0">
                  <c:v>540354.75</c:v>
                </c:pt>
                <c:pt idx="1">
                  <c:v>567131.62</c:v>
                </c:pt>
                <c:pt idx="2">
                  <c:v>649484.37</c:v>
                </c:pt>
                <c:pt idx="3">
                  <c:v>618951.18000000005</c:v>
                </c:pt>
                <c:pt idx="4">
                  <c:v>668236.2699999999</c:v>
                </c:pt>
                <c:pt idx="5">
                  <c:v>695956.58</c:v>
                </c:pt>
                <c:pt idx="6">
                  <c:v>631374.79000000015</c:v>
                </c:pt>
                <c:pt idx="7">
                  <c:v>669964.23999999987</c:v>
                </c:pt>
                <c:pt idx="8">
                  <c:v>742388.01</c:v>
                </c:pt>
                <c:pt idx="9">
                  <c:v>700346.55</c:v>
                </c:pt>
                <c:pt idx="10">
                  <c:v>852337.9800000001</c:v>
                </c:pt>
                <c:pt idx="11">
                  <c:v>905905.97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7D-40A4-9C7E-9292C5AA0238}"/>
            </c:ext>
          </c:extLst>
        </c:ser>
        <c:ser>
          <c:idx val="1"/>
          <c:order val="1"/>
          <c:tx>
            <c:v>Plan</c:v>
          </c:tx>
          <c:spPr>
            <a:ln w="14288">
              <a:solidFill>
                <a:srgbClr val="8D98A8"/>
              </a:solidFill>
              <a:prstDash val="dash"/>
            </a:ln>
          </c:spPr>
          <c:marker>
            <c:symbol val="none"/>
          </c:marker>
          <c:cat>
            <c:strRef>
              <c:f>Analysis!$H$38:$H$49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Analysis!$J$38:$J$49</c:f>
              <c:numCache>
                <c:formatCode>\$#,##0;\(\$#,##0\);"—"</c:formatCode>
                <c:ptCount val="12"/>
                <c:pt idx="0">
                  <c:v>553847.6399999999</c:v>
                </c:pt>
                <c:pt idx="1">
                  <c:v>586992.16999999993</c:v>
                </c:pt>
                <c:pt idx="2">
                  <c:v>657551.46</c:v>
                </c:pt>
                <c:pt idx="3">
                  <c:v>629001.28</c:v>
                </c:pt>
                <c:pt idx="4">
                  <c:v>678089.49</c:v>
                </c:pt>
                <c:pt idx="5">
                  <c:v>700310.21</c:v>
                </c:pt>
                <c:pt idx="6">
                  <c:v>635021.72000000009</c:v>
                </c:pt>
                <c:pt idx="7">
                  <c:v>682827.79</c:v>
                </c:pt>
                <c:pt idx="8">
                  <c:v>743034.08</c:v>
                </c:pt>
                <c:pt idx="9">
                  <c:v>749847.47000000009</c:v>
                </c:pt>
                <c:pt idx="10">
                  <c:v>887559.59999999986</c:v>
                </c:pt>
                <c:pt idx="11">
                  <c:v>947677.05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7D-40A4-9C7E-9292C5AA0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ysClr val="windowText" lastClr="000000"/>
                </a:solidFill>
                <a:prstDash val="solid"/>
                <a:round/>
              </a14:hiddenLine>
            </a:ext>
          </a:extLst>
        </c:spPr>
        <c:txPr>
          <a:bodyPr/>
          <a:lstStyle/>
          <a:p>
            <a:pPr>
              <a:defRPr sz="900">
                <a:solidFill>
                  <a:srgbClr val="34455B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srgbClr val="E8EDF2"/>
              </a:solidFill>
              <a:prstDash val="solid"/>
            </a:ln>
          </c:spPr>
        </c:majorGridlines>
        <c:numFmt formatCode="[&gt;=1000000]&quot;$&quot;0.0,,&quot;M&quot;;[&gt;=1000]&quot;$&quot;0,&quot;K&quot;;&quot;$&quot;0" sourceLinked="0"/>
        <c:majorTickMark val="none"/>
        <c:minorTickMark val="none"/>
        <c:tickLblPos val="nextTo"/>
        <c:spPr>
          <a:noFill/>
          <a:ln w="12700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ysClr val="windowText" lastClr="000000"/>
                </a:solidFill>
                <a:prstDash val="solid"/>
                <a:round/>
              </a14:hiddenLine>
            </a:ext>
          </a:extLst>
        </c:spPr>
        <c:txPr>
          <a:bodyPr/>
          <a:lstStyle/>
          <a:p>
            <a:pPr>
              <a:defRPr sz="900">
                <a:solidFill>
                  <a:srgbClr val="34455B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650112"/>
        <c:crosses val="autoZero"/>
        <c:crossBetween val="between"/>
      </c:valAx>
      <c:spPr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</c:legend>
    <c:plotVisOnly val="1"/>
    <c:dispBlanksAs val="zero"/>
    <c:showDLblsOverMax val="1"/>
  </c:chart>
  <c:spPr>
    <a:solidFill>
      <a:srgbClr val="FFFFFF"/>
    </a:solidFill>
    <a:ln w="9525">
      <a:noFill/>
      <a:prstDash val="solid"/>
      <a:round/>
    </a:ln>
    <a:effectLst/>
    <a:extLst>
      <a:ext uri="{91240B29-F687-4F45-9708-019B960494DF}">
        <a14:hiddenLine xmlns:a14="http://schemas.microsoft.com/office/drawing/2010/main" w="9525">
          <a:solidFill>
            <a:srgbClr val="D9D9D9"/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 sz="1100" b="1">
                <a:solidFill>
                  <a:srgbClr val="18283E"/>
                </a:solidFill>
                <a:latin typeface="Arial" panose="020B0604020202020204" pitchFamily="34" charset="0"/>
              </a:rPr>
              <a:t>Gross profit by category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Gross profit</c:v>
          </c:tx>
          <c:spPr>
            <a:solidFill>
              <a:srgbClr val="3565C9"/>
            </a:solidFill>
          </c:spPr>
          <c:invertIfNegative val="1"/>
          <c:cat>
            <c:strRef>
              <c:f>Analysis!$B$38:$B$40</c:f>
              <c:strCache>
                <c:ptCount val="3"/>
                <c:pt idx="0">
                  <c:v>Technology</c:v>
                </c:pt>
                <c:pt idx="1">
                  <c:v>Essentials</c:v>
                </c:pt>
                <c:pt idx="2">
                  <c:v>Furniture</c:v>
                </c:pt>
              </c:strCache>
            </c:strRef>
          </c:cat>
          <c:val>
            <c:numRef>
              <c:f>Analysis!$D$38:$D$40</c:f>
              <c:numCache>
                <c:formatCode>\$#,##0;\(\$#,##0\);"—"</c:formatCode>
                <c:ptCount val="3"/>
                <c:pt idx="0">
                  <c:v>1359086.1500000004</c:v>
                </c:pt>
                <c:pt idx="1">
                  <c:v>628314.90999999968</c:v>
                </c:pt>
                <c:pt idx="2">
                  <c:v>586447.12999999989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2F98-4845-A0F9-CAE5028F9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ysClr val="windowText" lastClr="000000"/>
                </a:solidFill>
                <a:prstDash val="solid"/>
                <a:round/>
              </a14:hiddenLine>
            </a:ext>
          </a:extLst>
        </c:spPr>
        <c:txPr>
          <a:bodyPr/>
          <a:lstStyle/>
          <a:p>
            <a:pPr>
              <a:defRPr sz="900">
                <a:solidFill>
                  <a:srgbClr val="34455B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srgbClr val="E8EDF2"/>
              </a:solidFill>
              <a:prstDash val="solid"/>
            </a:ln>
          </c:spPr>
        </c:majorGridlines>
        <c:numFmt formatCode="[&gt;=1000000]&quot;$&quot;0.0,,&quot;M&quot;;[&gt;=1000]&quot;$&quot;0,&quot;K&quot;;&quot;$&quot;0" sourceLinked="0"/>
        <c:majorTickMark val="none"/>
        <c:minorTickMark val="none"/>
        <c:tickLblPos val="nextTo"/>
        <c:spPr>
          <a:noFill/>
          <a:ln w="12700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ysClr val="windowText" lastClr="000000"/>
                </a:solidFill>
                <a:prstDash val="solid"/>
                <a:round/>
              </a14:hiddenLine>
            </a:ext>
          </a:extLst>
        </c:spPr>
        <c:txPr>
          <a:bodyPr/>
          <a:lstStyle/>
          <a:p>
            <a:pPr>
              <a:defRPr sz="900">
                <a:solidFill>
                  <a:srgbClr val="34455B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650112"/>
        <c:crosses val="autoZero"/>
        <c:crossBetween val="between"/>
      </c:valAx>
      <c:spPr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zero"/>
    <c:showDLblsOverMax val="1"/>
  </c:chart>
  <c:spPr>
    <a:solidFill>
      <a:srgbClr val="FFFFFF"/>
    </a:solidFill>
    <a:ln w="9525">
      <a:noFill/>
      <a:prstDash val="solid"/>
      <a:round/>
    </a:ln>
    <a:effectLst/>
    <a:extLst>
      <a:ext uri="{91240B29-F687-4F45-9708-019B960494DF}">
        <a14:hiddenLine xmlns:a14="http://schemas.microsoft.com/office/drawing/2010/main" w="9525">
          <a:solidFill>
            <a:srgbClr val="D9D9D9"/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 sz="1100" b="1">
                <a:solidFill>
                  <a:srgbClr val="18283E"/>
                </a:solidFill>
                <a:latin typeface="Arial" panose="020B0604020202020204" pitchFamily="34" charset="0"/>
              </a:rPr>
              <a:t>What changed gross profit?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Contribution</c:v>
          </c:tx>
          <c:spPr>
            <a:solidFill>
              <a:srgbClr val="2E7568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Pt>
            <c:idx val="1"/>
            <c:invertIfNegative val="0"/>
            <c:bubble3D val="0"/>
            <c:spPr>
              <a:solidFill>
                <a:srgbClr val="B75E4B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2-97F7-4997-AA1B-97BDC583D7E0}"/>
              </c:ext>
            </c:extLst>
          </c:dPt>
          <c:dLbls>
            <c:numFmt formatCode="\+&quot;$&quot;0,&quot;K&quot;;\(&quot;$&quot;0,&quot;K&quot;\);&quot;$&quot;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Analysis!$G$74:$G$75</c:f>
              <c:strCache>
                <c:ptCount val="2"/>
                <c:pt idx="0">
                  <c:v>Revenue growth</c:v>
                </c:pt>
                <c:pt idx="1">
                  <c:v>Margin change</c:v>
                </c:pt>
              </c:strCache>
            </c:strRef>
          </c:cat>
          <c:val>
            <c:numRef>
              <c:f>Analysis!$H$74:$H$75</c:f>
              <c:numCache>
                <c:formatCode>\+\$#,##0;\-\$#,##0;\$0</c:formatCode>
                <c:ptCount val="2"/>
                <c:pt idx="0">
                  <c:v>302455.58931965573</c:v>
                </c:pt>
                <c:pt idx="1">
                  <c:v>-115095.04931965534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F7-4997-AA1B-97BDC583D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ysClr val="windowText" lastClr="000000"/>
                </a:solidFill>
                <a:prstDash val="solid"/>
                <a:round/>
              </a14:hiddenLine>
            </a:ext>
          </a:extLst>
        </c:spPr>
        <c:txPr>
          <a:bodyPr/>
          <a:lstStyle/>
          <a:p>
            <a:pPr>
              <a:defRPr sz="900">
                <a:solidFill>
                  <a:srgbClr val="34455B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</c:scaling>
        <c:delete val="0"/>
        <c:axPos val="l"/>
        <c:majorGridlines>
          <c:spPr>
            <a:ln w="6350">
              <a:solidFill>
                <a:srgbClr val="E8EDF2"/>
              </a:solidFill>
              <a:prstDash val="solid"/>
            </a:ln>
          </c:spPr>
        </c:majorGridlines>
        <c:numFmt formatCode="&quot;$&quot;0,&quot;K&quot;;\(&quot;$&quot;0,&quot;K&quot;\);&quot;$&quot;0" sourceLinked="0"/>
        <c:majorTickMark val="none"/>
        <c:minorTickMark val="none"/>
        <c:tickLblPos val="nextTo"/>
        <c:spPr>
          <a:noFill/>
          <a:ln w="12700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ysClr val="windowText" lastClr="000000"/>
                </a:solidFill>
                <a:prstDash val="solid"/>
                <a:round/>
              </a14:hiddenLine>
            </a:ext>
          </a:extLst>
        </c:spPr>
        <c:txPr>
          <a:bodyPr/>
          <a:lstStyle/>
          <a:p>
            <a:pPr>
              <a:defRPr sz="900">
                <a:solidFill>
                  <a:srgbClr val="34455B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650112"/>
        <c:crosses val="autoZero"/>
        <c:crossBetween val="between"/>
      </c:valAx>
      <c:spPr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zero"/>
    <c:showDLblsOverMax val="1"/>
  </c:chart>
  <c:spPr>
    <a:solidFill>
      <a:srgbClr val="FFFFFF"/>
    </a:solidFill>
    <a:ln w="9525">
      <a:noFill/>
      <a:prstDash val="solid"/>
      <a:round/>
    </a:ln>
    <a:effectLst/>
    <a:extLst>
      <a:ext uri="{91240B29-F687-4F45-9708-019B960494DF}">
        <a14:hiddenLine xmlns:a14="http://schemas.microsoft.com/office/drawing/2010/main" w="9525">
          <a:solidFill>
            <a:srgbClr val="D9D9D9"/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14</xdr:col>
      <xdr:colOff>0</xdr:colOff>
      <xdr:row>24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12</xdr:row>
      <xdr:rowOff>0</xdr:rowOff>
    </xdr:from>
    <xdr:to>
      <xdr:col>21</xdr:col>
      <xdr:colOff>0</xdr:colOff>
      <xdr:row>24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25</xdr:row>
      <xdr:rowOff>0</xdr:rowOff>
    </xdr:from>
    <xdr:to>
      <xdr:col>10</xdr:col>
      <xdr:colOff>0</xdr:colOff>
      <xdr:row>37</xdr:row>
      <xdr:rowOff>0</xdr:rowOff>
    </xdr:to>
    <xdr:graphicFrame macro="">
      <xdr:nvGraphicFramePr>
        <xdr:cNvPr id="4" name="Char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alesData" displayName="SalesData" ref="A8:J584" totalsRowShown="0">
  <autoFilter ref="A8:J584" xr:uid="{00000000-0009-0000-0100-000001000000}"/>
  <tableColumns count="10">
    <tableColumn id="1" xr3:uid="{00000000-0010-0000-0000-000001000000}" name="Month"/>
    <tableColumn id="2" xr3:uid="{00000000-0010-0000-0000-000002000000}" name="Region"/>
    <tableColumn id="3" xr3:uid="{00000000-0010-0000-0000-000003000000}" name="Category"/>
    <tableColumn id="4" xr3:uid="{00000000-0010-0000-0000-000004000000}" name="Channel"/>
    <tableColumn id="5" xr3:uid="{00000000-0010-0000-0000-000005000000}" name="Orders"/>
    <tableColumn id="6" xr3:uid="{00000000-0010-0000-0000-000006000000}" name="Units"/>
    <tableColumn id="7" xr3:uid="{00000000-0010-0000-0000-000007000000}" name="Gross sales"/>
    <tableColumn id="8" xr3:uid="{00000000-0010-0000-0000-000008000000}" name="Discounts"/>
    <tableColumn id="9" xr3:uid="{00000000-0010-0000-0000-000009000000}" name="COGS"/>
    <tableColumn id="10" xr3:uid="{00000000-0010-0000-0000-00000A000000}" name="Revenue pla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565C9"/>
    <pageSetUpPr fitToPage="1"/>
  </sheetPr>
  <dimension ref="A1:V48"/>
  <sheetViews>
    <sheetView showGridLines="0" showRowColHeaders="0" tabSelected="1" zoomScale="85" zoomScaleNormal="85" workbookViewId="0"/>
  </sheetViews>
  <sheetFormatPr defaultRowHeight="13.5"/>
  <cols>
    <col min="1" max="1" width="2.5" customWidth="1"/>
    <col min="2" max="8" width="6.5" customWidth="1"/>
    <col min="9" max="9" width="10.25" customWidth="1"/>
    <col min="10" max="21" width="6.5" customWidth="1"/>
    <col min="22" max="22" width="2.5" customWidth="1"/>
  </cols>
  <sheetData>
    <row r="1" spans="1:22" ht="15.7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ht="23.25" customHeight="1">
      <c r="A2" s="37"/>
      <c r="B2" s="83" t="s">
        <v>0</v>
      </c>
      <c r="C2" s="83" t="s">
        <v>0</v>
      </c>
      <c r="D2" s="83" t="s">
        <v>0</v>
      </c>
      <c r="E2" s="83" t="s">
        <v>0</v>
      </c>
      <c r="F2" s="83" t="s">
        <v>0</v>
      </c>
      <c r="G2" s="83" t="s">
        <v>0</v>
      </c>
      <c r="H2" s="83" t="s">
        <v>0</v>
      </c>
      <c r="I2" s="83" t="s">
        <v>0</v>
      </c>
      <c r="J2" s="83" t="s">
        <v>0</v>
      </c>
      <c r="K2" s="83" t="s">
        <v>0</v>
      </c>
      <c r="L2" s="83" t="s">
        <v>0</v>
      </c>
      <c r="M2" s="83" t="s">
        <v>0</v>
      </c>
      <c r="N2" s="83" t="s">
        <v>0</v>
      </c>
      <c r="O2" s="83" t="s">
        <v>0</v>
      </c>
      <c r="P2" s="83" t="s">
        <v>0</v>
      </c>
      <c r="Q2" s="83" t="s">
        <v>0</v>
      </c>
      <c r="R2" s="83" t="s">
        <v>0</v>
      </c>
      <c r="S2" s="83" t="s">
        <v>0</v>
      </c>
      <c r="T2" s="83" t="s">
        <v>0</v>
      </c>
      <c r="U2" s="83" t="s">
        <v>0</v>
      </c>
      <c r="V2" s="37"/>
    </row>
    <row r="3" spans="1:22" ht="16.5" customHeight="1">
      <c r="A3" s="37"/>
      <c r="B3" s="84" t="s">
        <v>1</v>
      </c>
      <c r="C3" s="85" t="s">
        <v>1</v>
      </c>
      <c r="D3" s="85" t="s">
        <v>1</v>
      </c>
      <c r="E3" s="85" t="s">
        <v>1</v>
      </c>
      <c r="F3" s="85" t="s">
        <v>1</v>
      </c>
      <c r="G3" s="85" t="s">
        <v>1</v>
      </c>
      <c r="H3" s="85" t="s">
        <v>1</v>
      </c>
      <c r="I3" s="85" t="s">
        <v>1</v>
      </c>
      <c r="J3" s="85" t="s">
        <v>1</v>
      </c>
      <c r="K3" s="85" t="s">
        <v>1</v>
      </c>
      <c r="L3" s="85" t="s">
        <v>1</v>
      </c>
      <c r="M3" s="85" t="s">
        <v>1</v>
      </c>
      <c r="N3" s="85" t="s">
        <v>1</v>
      </c>
      <c r="O3" s="85" t="s">
        <v>1</v>
      </c>
      <c r="P3" s="85" t="s">
        <v>1</v>
      </c>
      <c r="Q3" s="85" t="s">
        <v>1</v>
      </c>
      <c r="R3" s="85" t="s">
        <v>1</v>
      </c>
      <c r="S3" s="85" t="s">
        <v>1</v>
      </c>
      <c r="T3" s="85" t="s">
        <v>1</v>
      </c>
      <c r="U3" s="86" t="s">
        <v>1</v>
      </c>
      <c r="V3" s="37"/>
    </row>
    <row r="4" spans="1:22" ht="15.75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</row>
    <row r="5" spans="1:22" ht="20.25" customHeight="1">
      <c r="A5" s="37"/>
      <c r="B5" s="38" t="s">
        <v>2</v>
      </c>
      <c r="C5" s="39"/>
      <c r="D5" s="40">
        <v>2025</v>
      </c>
      <c r="E5" s="39"/>
      <c r="F5" s="39"/>
      <c r="G5" s="38" t="s">
        <v>3</v>
      </c>
      <c r="H5" s="39"/>
      <c r="I5" s="40" t="s">
        <v>4</v>
      </c>
      <c r="J5" s="39"/>
      <c r="K5" s="39"/>
      <c r="L5" s="38" t="s">
        <v>5</v>
      </c>
      <c r="M5" s="39"/>
      <c r="N5" s="40" t="s">
        <v>6</v>
      </c>
      <c r="O5" s="39"/>
      <c r="P5" s="39"/>
      <c r="Q5" s="38" t="s">
        <v>7</v>
      </c>
      <c r="R5" s="39"/>
      <c r="S5" s="40" t="s">
        <v>6</v>
      </c>
      <c r="T5" s="39"/>
      <c r="U5" s="39"/>
      <c r="V5" s="37"/>
    </row>
    <row r="6" spans="1:22" ht="15" customHeight="1">
      <c r="A6" s="37"/>
      <c r="B6" s="55" t="str">
        <f>IF(Analysis!N3,"Blue cells filter the KPIs and breakdowns. The revenue trend shows the full selected year.","Check filters: choose a listed year, quarter, region and channel.")</f>
        <v>Blue cells filter the KPIs and breakdowns. The revenue trend shows the full selected year.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37"/>
    </row>
    <row r="7" spans="1:22" ht="15.7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</row>
    <row r="8" spans="1:22" ht="15.75" customHeight="1">
      <c r="A8" s="37"/>
      <c r="B8" s="75" t="s">
        <v>59</v>
      </c>
      <c r="C8" s="76" t="s">
        <v>8</v>
      </c>
      <c r="D8" s="76" t="s">
        <v>8</v>
      </c>
      <c r="E8" s="77" t="s">
        <v>8</v>
      </c>
      <c r="F8" s="37"/>
      <c r="G8" s="75" t="s">
        <v>9</v>
      </c>
      <c r="H8" s="76" t="s">
        <v>9</v>
      </c>
      <c r="I8" s="76" t="s">
        <v>9</v>
      </c>
      <c r="J8" s="77" t="s">
        <v>9</v>
      </c>
      <c r="K8" s="37"/>
      <c r="L8" s="75" t="s">
        <v>10</v>
      </c>
      <c r="M8" s="76" t="s">
        <v>10</v>
      </c>
      <c r="N8" s="76" t="s">
        <v>10</v>
      </c>
      <c r="O8" s="77" t="s">
        <v>10</v>
      </c>
      <c r="P8" s="37"/>
      <c r="Q8" s="75" t="s">
        <v>11</v>
      </c>
      <c r="R8" s="76" t="s">
        <v>11</v>
      </c>
      <c r="S8" s="76" t="s">
        <v>11</v>
      </c>
      <c r="T8" s="76" t="s">
        <v>11</v>
      </c>
      <c r="U8" s="77" t="s">
        <v>11</v>
      </c>
      <c r="V8" s="37"/>
    </row>
    <row r="9" spans="1:22" ht="15.75" customHeight="1">
      <c r="A9" s="37"/>
      <c r="B9" s="78">
        <f>IF(Analysis!N3,Analysis!C21,"n.a.")</f>
        <v>8242432.3100000005</v>
      </c>
      <c r="C9" s="79"/>
      <c r="D9" s="79"/>
      <c r="E9" s="80"/>
      <c r="F9" s="37"/>
      <c r="G9" s="78">
        <f>IF(Analysis!N3,Analysis!E21,"n.a.")</f>
        <v>2573848.19</v>
      </c>
      <c r="H9" s="79"/>
      <c r="I9" s="79"/>
      <c r="J9" s="80"/>
      <c r="K9" s="37"/>
      <c r="L9" s="82">
        <f>IF(Analysis!N3,Analysis!F21,"n.a.")</f>
        <v>0.31226804093705679</v>
      </c>
      <c r="M9" s="79"/>
      <c r="N9" s="79"/>
      <c r="O9" s="80"/>
      <c r="P9" s="37"/>
      <c r="Q9" s="82">
        <f>IF(Analysis!N3,Analysis!C23,"n.a.")</f>
        <v>0.97523265556633265</v>
      </c>
      <c r="R9" s="79"/>
      <c r="S9" s="79"/>
      <c r="T9" s="79"/>
      <c r="U9" s="80"/>
      <c r="V9" s="37"/>
    </row>
    <row r="10" spans="1:22" ht="15.75" customHeight="1">
      <c r="A10" s="37"/>
      <c r="B10" s="81"/>
      <c r="C10" s="79"/>
      <c r="D10" s="79"/>
      <c r="E10" s="80"/>
      <c r="F10" s="37"/>
      <c r="G10" s="81"/>
      <c r="H10" s="79"/>
      <c r="I10" s="79"/>
      <c r="J10" s="80"/>
      <c r="K10" s="37"/>
      <c r="L10" s="81"/>
      <c r="M10" s="79"/>
      <c r="N10" s="79"/>
      <c r="O10" s="80"/>
      <c r="P10" s="37"/>
      <c r="Q10" s="81"/>
      <c r="R10" s="79"/>
      <c r="S10" s="79"/>
      <c r="T10" s="79"/>
      <c r="U10" s="80"/>
      <c r="V10" s="37"/>
    </row>
    <row r="11" spans="1:22" ht="15.75" customHeight="1">
      <c r="A11" s="37"/>
      <c r="B11" s="68" t="str">
        <f>IF(ISNUMBER(Analysis!J21),TEXT(Analysis!J21,"+0.0%;(0.0%);0.0%")&amp;" vs prior year","Prior year unavailable")</f>
        <v>+12.7% vs prior year</v>
      </c>
      <c r="C11" s="69"/>
      <c r="D11" s="69"/>
      <c r="E11" s="70"/>
      <c r="F11" s="37"/>
      <c r="G11" s="68" t="str">
        <f>IF(ISNUMBER(Analysis!E65),TEXT(Analysis!E65,"+0.0%;-0.0%;0.0%")&amp;" vs prior year","Prior year unavailable")</f>
        <v>+7.9% vs prior year</v>
      </c>
      <c r="H11" s="69"/>
      <c r="I11" s="69"/>
      <c r="J11" s="70"/>
      <c r="K11" s="37"/>
      <c r="L11" s="68" t="str">
        <f>IF(ISNUMBER(Analysis!E67),TEXT(Analysis!E67,"+0.0;-0.0;0.0")&amp;" pp vs prior year","Prior year unavailable")</f>
        <v>-1.4 pp vs prior year</v>
      </c>
      <c r="M11" s="69"/>
      <c r="N11" s="69"/>
      <c r="O11" s="70"/>
      <c r="P11" s="37"/>
      <c r="Q11" s="68" t="str">
        <f>TEXT(Analysis!H21,"+$#,##0;($#,##0);$0")&amp;" vs plan"</f>
        <v>($209,328) vs plan</v>
      </c>
      <c r="R11" s="69"/>
      <c r="S11" s="69"/>
      <c r="T11" s="69"/>
      <c r="U11" s="70"/>
      <c r="V11" s="37"/>
    </row>
    <row r="12" spans="1:22" ht="15.75" customHeight="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</row>
    <row r="13" spans="1:22" ht="15.75" customHeight="1">
      <c r="A13" s="37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37"/>
    </row>
    <row r="14" spans="1:22" ht="15.75" customHeight="1">
      <c r="A14" s="37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37"/>
    </row>
    <row r="15" spans="1:22" ht="15.75" customHeight="1">
      <c r="A15" s="37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37"/>
    </row>
    <row r="16" spans="1:22" ht="15.75" customHeight="1">
      <c r="A16" s="37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37"/>
    </row>
    <row r="17" spans="1:22" ht="15.75" customHeight="1">
      <c r="A17" s="37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37"/>
    </row>
    <row r="18" spans="1:22" ht="15.75" customHeight="1">
      <c r="A18" s="37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37"/>
    </row>
    <row r="19" spans="1:22" ht="15.75" customHeight="1">
      <c r="A19" s="37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37"/>
    </row>
    <row r="20" spans="1:22" ht="15.75" customHeight="1">
      <c r="A20" s="37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37"/>
    </row>
    <row r="21" spans="1:22" ht="15.75" customHeight="1">
      <c r="A21" s="37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37"/>
    </row>
    <row r="22" spans="1:22" ht="15.75" customHeight="1">
      <c r="A22" s="37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37"/>
    </row>
    <row r="23" spans="1:22" ht="15.75" customHeight="1">
      <c r="A23" s="37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37"/>
    </row>
    <row r="24" spans="1:22" ht="15.75" customHeight="1">
      <c r="A24" s="37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37"/>
    </row>
    <row r="25" spans="1:22" ht="15.75" customHeight="1">
      <c r="A25" s="37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37"/>
    </row>
    <row r="26" spans="1:22" ht="15.75" customHeight="1">
      <c r="A26" s="37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71" t="s">
        <v>12</v>
      </c>
      <c r="M26" s="71" t="s">
        <v>12</v>
      </c>
      <c r="N26" s="71" t="s">
        <v>12</v>
      </c>
      <c r="O26" s="71" t="s">
        <v>12</v>
      </c>
      <c r="P26" s="71" t="s">
        <v>12</v>
      </c>
      <c r="Q26" s="71" t="s">
        <v>12</v>
      </c>
      <c r="R26" s="71" t="s">
        <v>12</v>
      </c>
      <c r="S26" s="71" t="s">
        <v>12</v>
      </c>
      <c r="T26" s="71" t="s">
        <v>12</v>
      </c>
      <c r="U26" s="71" t="s">
        <v>12</v>
      </c>
      <c r="V26" s="37"/>
    </row>
    <row r="27" spans="1:22" ht="15.75" customHeight="1">
      <c r="A27" s="37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55" t="s">
        <v>60</v>
      </c>
      <c r="M27" s="55"/>
      <c r="N27" s="55"/>
      <c r="O27" s="55"/>
      <c r="P27" s="55"/>
      <c r="Q27" s="55"/>
      <c r="R27" s="55"/>
      <c r="S27" s="55"/>
      <c r="T27" s="55"/>
      <c r="U27" s="55"/>
      <c r="V27" s="37"/>
    </row>
    <row r="28" spans="1:22" ht="15.75" customHeight="1">
      <c r="A28" s="37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72" t="s">
        <v>13</v>
      </c>
      <c r="M28" s="73" t="s">
        <v>13</v>
      </c>
      <c r="N28" s="73" t="s">
        <v>13</v>
      </c>
      <c r="O28" s="73" t="s">
        <v>13</v>
      </c>
      <c r="P28" s="73" t="s">
        <v>8</v>
      </c>
      <c r="Q28" s="73" t="s">
        <v>8</v>
      </c>
      <c r="R28" s="73" t="s">
        <v>14</v>
      </c>
      <c r="S28" s="73" t="s">
        <v>14</v>
      </c>
      <c r="T28" s="73" t="s">
        <v>15</v>
      </c>
      <c r="U28" s="74" t="s">
        <v>15</v>
      </c>
      <c r="V28" s="37"/>
    </row>
    <row r="29" spans="1:22" ht="15.75" customHeight="1">
      <c r="A29" s="37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56" t="str">
        <f>Analysis!B38</f>
        <v>Technology</v>
      </c>
      <c r="M29" s="57"/>
      <c r="N29" s="57"/>
      <c r="O29" s="57"/>
      <c r="P29" s="60">
        <f>Analysis!C38</f>
        <v>3828477.2799999993</v>
      </c>
      <c r="Q29" s="61"/>
      <c r="R29" s="63">
        <f>Analysis!E38</f>
        <v>0.35499391810417136</v>
      </c>
      <c r="S29" s="61"/>
      <c r="T29" s="64">
        <f>Analysis!F38</f>
        <v>-103417.97000000207</v>
      </c>
      <c r="U29" s="65"/>
      <c r="V29" s="37"/>
    </row>
    <row r="30" spans="1:22" ht="15.75" customHeight="1">
      <c r="A30" s="37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58"/>
      <c r="M30" s="59"/>
      <c r="N30" s="59"/>
      <c r="O30" s="59"/>
      <c r="P30" s="62"/>
      <c r="Q30" s="62"/>
      <c r="R30" s="62"/>
      <c r="S30" s="62"/>
      <c r="T30" s="62"/>
      <c r="U30" s="62"/>
      <c r="V30" s="37"/>
    </row>
    <row r="31" spans="1:22" ht="15.75" customHeight="1">
      <c r="A31" s="37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56" t="str">
        <f>Analysis!B39</f>
        <v>Essentials</v>
      </c>
      <c r="M31" s="57"/>
      <c r="N31" s="57"/>
      <c r="O31" s="57"/>
      <c r="P31" s="60">
        <f>Analysis!C39</f>
        <v>1430315</v>
      </c>
      <c r="Q31" s="61"/>
      <c r="R31" s="63">
        <f>Analysis!E39</f>
        <v>0.43928429052341594</v>
      </c>
      <c r="S31" s="61"/>
      <c r="T31" s="64">
        <f>Analysis!F39</f>
        <v>-14999.8199999996</v>
      </c>
      <c r="U31" s="65"/>
      <c r="V31" s="37"/>
    </row>
    <row r="32" spans="1:22" ht="15.75" customHeight="1">
      <c r="A32" s="37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58"/>
      <c r="M32" s="59"/>
      <c r="N32" s="59"/>
      <c r="O32" s="59"/>
      <c r="P32" s="62"/>
      <c r="Q32" s="62"/>
      <c r="R32" s="62"/>
      <c r="S32" s="62"/>
      <c r="T32" s="62"/>
      <c r="U32" s="62"/>
      <c r="V32" s="37"/>
    </row>
    <row r="33" spans="1:22" ht="15.75" customHeight="1">
      <c r="A33" s="37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56" t="str">
        <f>Analysis!B40</f>
        <v>Furniture</v>
      </c>
      <c r="M33" s="57"/>
      <c r="N33" s="57"/>
      <c r="O33" s="57"/>
      <c r="P33" s="60">
        <f>Analysis!C40</f>
        <v>2983640.03</v>
      </c>
      <c r="Q33" s="61"/>
      <c r="R33" s="63">
        <f>Analysis!E40</f>
        <v>0.19655425054744285</v>
      </c>
      <c r="S33" s="61"/>
      <c r="T33" s="64">
        <f>Analysis!F40</f>
        <v>-90909.85999999987</v>
      </c>
      <c r="U33" s="65"/>
      <c r="V33" s="37"/>
    </row>
    <row r="34" spans="1:22" ht="15.75" customHeight="1">
      <c r="A34" s="37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58"/>
      <c r="M34" s="59"/>
      <c r="N34" s="59"/>
      <c r="O34" s="59"/>
      <c r="P34" s="62"/>
      <c r="Q34" s="62"/>
      <c r="R34" s="62"/>
      <c r="S34" s="62"/>
      <c r="T34" s="62"/>
      <c r="U34" s="62"/>
      <c r="V34" s="37"/>
    </row>
    <row r="35" spans="1:22" ht="15.75" customHeight="1">
      <c r="A35" s="37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37"/>
    </row>
    <row r="36" spans="1:22" ht="15.75" customHeight="1">
      <c r="A36" s="37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66" t="str">
        <f>IF(ISNUMBER(Analysis!E63),"Orders "&amp;TEXT(Analysis!E63,"+0.0%;-0.0%;0.0%")&amp;"; revenue/order "&amp;TEXT(Analysis!E64,"+0.0%;-0.0%;0.0%")&amp;" YoY.","Prior-year drivers unavailable for this selection.")</f>
        <v>Orders +10.7%; revenue/order +1.8% YoY.</v>
      </c>
      <c r="M36" s="67"/>
      <c r="N36" s="67"/>
      <c r="O36" s="67"/>
      <c r="P36" s="67"/>
      <c r="Q36" s="67"/>
      <c r="R36" s="67"/>
      <c r="S36" s="67"/>
      <c r="T36" s="67"/>
      <c r="U36" s="67"/>
      <c r="V36" s="37"/>
    </row>
    <row r="37" spans="1:22" ht="15.75" customHeight="1">
      <c r="A37" s="37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52" t="str">
        <f>IF(Analysis!N3,IF(MIN(Analysis!H31:H34)&lt;0,"Review "&amp;INDEX(Analysis!B31:B34,MATCH(MIN(Analysis!H31:H34),Analysis!H31:H34,0))&amp;": largest revenue gap ("&amp;TEXT(ABS(MIN(Analysis!H31:H34)),"$0,\K")&amp;").","All selected regions meet revenue plan."),"")</f>
        <v>Review West: largest revenue gap ($313K).</v>
      </c>
      <c r="M37" s="53"/>
      <c r="N37" s="53"/>
      <c r="O37" s="53"/>
      <c r="P37" s="53"/>
      <c r="Q37" s="53"/>
      <c r="R37" s="53"/>
      <c r="S37" s="53"/>
      <c r="T37" s="53"/>
      <c r="U37" s="53"/>
      <c r="V37" s="37"/>
    </row>
    <row r="38" spans="1:22" ht="15.75" customHeight="1">
      <c r="A38" s="37"/>
      <c r="B38" s="55" t="s">
        <v>61</v>
      </c>
      <c r="C38" s="55"/>
      <c r="D38" s="55"/>
      <c r="E38" s="55"/>
      <c r="F38" s="55"/>
      <c r="G38" s="55"/>
      <c r="H38" s="55"/>
      <c r="I38" s="55"/>
      <c r="J38" s="55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37"/>
    </row>
    <row r="39" spans="1:22" ht="15.75" customHeight="1">
      <c r="A39" s="37"/>
      <c r="B39" s="54" t="s">
        <v>62</v>
      </c>
      <c r="C39" s="54" t="s">
        <v>16</v>
      </c>
      <c r="D39" s="54" t="s">
        <v>16</v>
      </c>
      <c r="E39" s="54" t="s">
        <v>16</v>
      </c>
      <c r="F39" s="54" t="s">
        <v>16</v>
      </c>
      <c r="G39" s="54" t="s">
        <v>16</v>
      </c>
      <c r="H39" s="54" t="s">
        <v>16</v>
      </c>
      <c r="I39" s="54" t="s">
        <v>16</v>
      </c>
      <c r="J39" s="54" t="s">
        <v>16</v>
      </c>
      <c r="K39" s="54" t="s">
        <v>16</v>
      </c>
      <c r="L39" s="54" t="s">
        <v>16</v>
      </c>
      <c r="M39" s="54" t="s">
        <v>16</v>
      </c>
      <c r="N39" s="54" t="s">
        <v>16</v>
      </c>
      <c r="O39" s="54" t="s">
        <v>16</v>
      </c>
      <c r="P39" s="54" t="s">
        <v>16</v>
      </c>
      <c r="Q39" s="54" t="s">
        <v>16</v>
      </c>
      <c r="R39" s="54" t="s">
        <v>16</v>
      </c>
      <c r="S39" s="54" t="s">
        <v>16</v>
      </c>
      <c r="T39" s="54" t="s">
        <v>16</v>
      </c>
      <c r="U39" s="54" t="s">
        <v>16</v>
      </c>
      <c r="V39" s="37"/>
    </row>
    <row r="40" spans="1:22" ht="15.75" customHeight="1">
      <c r="A40" s="37"/>
      <c r="B40" s="55" t="s">
        <v>63</v>
      </c>
      <c r="C40" s="55" t="s">
        <v>17</v>
      </c>
      <c r="D40" s="55" t="s">
        <v>17</v>
      </c>
      <c r="E40" s="55" t="s">
        <v>17</v>
      </c>
      <c r="F40" s="55" t="s">
        <v>17</v>
      </c>
      <c r="G40" s="55" t="s">
        <v>17</v>
      </c>
      <c r="H40" s="55" t="s">
        <v>17</v>
      </c>
      <c r="I40" s="55" t="s">
        <v>17</v>
      </c>
      <c r="J40" s="55" t="s">
        <v>17</v>
      </c>
      <c r="K40" s="55" t="s">
        <v>17</v>
      </c>
      <c r="L40" s="55" t="s">
        <v>17</v>
      </c>
      <c r="M40" s="55" t="s">
        <v>17</v>
      </c>
      <c r="N40" s="55" t="s">
        <v>17</v>
      </c>
      <c r="O40" s="55" t="s">
        <v>17</v>
      </c>
      <c r="P40" s="55" t="s">
        <v>17</v>
      </c>
      <c r="Q40" s="55" t="s">
        <v>17</v>
      </c>
      <c r="R40" s="55" t="s">
        <v>17</v>
      </c>
      <c r="S40" s="55" t="s">
        <v>17</v>
      </c>
      <c r="T40" s="55" t="s">
        <v>17</v>
      </c>
      <c r="U40" s="55" t="s">
        <v>17</v>
      </c>
      <c r="V40" s="37"/>
    </row>
    <row r="41" spans="1:22" ht="15.75" customHeight="1"/>
    <row r="42" spans="1:22" ht="15.75" customHeight="1"/>
    <row r="43" spans="1:22" ht="15.75" customHeight="1"/>
    <row r="44" spans="1:22" ht="15.75" customHeight="1"/>
    <row r="45" spans="1:22" ht="15.75" customHeight="1"/>
    <row r="46" spans="1:22" ht="15.75" customHeight="1"/>
    <row r="47" spans="1:22" ht="15.75" customHeight="1"/>
    <row r="48" spans="1:22" ht="15.75" customHeight="1"/>
  </sheetData>
  <mergeCells count="38">
    <mergeCell ref="B2:U2"/>
    <mergeCell ref="B3:U3"/>
    <mergeCell ref="B6:U6"/>
    <mergeCell ref="B8:E8"/>
    <mergeCell ref="B9:E10"/>
    <mergeCell ref="Q8:U8"/>
    <mergeCell ref="Q9:U10"/>
    <mergeCell ref="B11:E11"/>
    <mergeCell ref="G8:J8"/>
    <mergeCell ref="G9:J10"/>
    <mergeCell ref="G11:J11"/>
    <mergeCell ref="L8:O8"/>
    <mergeCell ref="L9:O10"/>
    <mergeCell ref="L11:O11"/>
    <mergeCell ref="Q11:U11"/>
    <mergeCell ref="L26:U26"/>
    <mergeCell ref="L28:O28"/>
    <mergeCell ref="P28:Q28"/>
    <mergeCell ref="R28:S28"/>
    <mergeCell ref="T28:U28"/>
    <mergeCell ref="L27:U27"/>
    <mergeCell ref="L29:O30"/>
    <mergeCell ref="P29:Q30"/>
    <mergeCell ref="R29:S30"/>
    <mergeCell ref="T29:U30"/>
    <mergeCell ref="L31:O32"/>
    <mergeCell ref="P31:Q32"/>
    <mergeCell ref="R31:S32"/>
    <mergeCell ref="T31:U32"/>
    <mergeCell ref="L37:U37"/>
    <mergeCell ref="B39:U39"/>
    <mergeCell ref="B40:U40"/>
    <mergeCell ref="L33:O34"/>
    <mergeCell ref="P33:Q34"/>
    <mergeCell ref="R33:S34"/>
    <mergeCell ref="T33:U34"/>
    <mergeCell ref="L36:U36"/>
    <mergeCell ref="B38:J38"/>
  </mergeCells>
  <conditionalFormatting sqref="T29">
    <cfRule type="cellIs" dxfId="18" priority="37" operator="lessThan">
      <formula>0</formula>
    </cfRule>
    <cfRule type="cellIs" dxfId="17" priority="38" operator="greaterThan">
      <formula>0</formula>
    </cfRule>
  </conditionalFormatting>
  <conditionalFormatting sqref="T31">
    <cfRule type="cellIs" dxfId="16" priority="39" operator="lessThan">
      <formula>0</formula>
    </cfRule>
    <cfRule type="cellIs" dxfId="15" priority="40" operator="greaterThan">
      <formula>0</formula>
    </cfRule>
  </conditionalFormatting>
  <conditionalFormatting sqref="T33">
    <cfRule type="cellIs" dxfId="14" priority="41" operator="lessThan">
      <formula>0</formula>
    </cfRule>
    <cfRule type="cellIs" dxfId="13" priority="42" operator="greaterThan">
      <formula>0</formula>
    </cfRule>
  </conditionalFormatting>
  <conditionalFormatting sqref="T35">
    <cfRule type="cellIs" dxfId="12" priority="1" operator="lessThan">
      <formula>0</formula>
    </cfRule>
    <cfRule type="cellIs" dxfId="11" priority="2" operator="greaterThan">
      <formula>0</formula>
    </cfRule>
  </conditionalFormatting>
  <conditionalFormatting sqref="T37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T39">
    <cfRule type="cellIs" dxfId="8" priority="5" operator="lessThan">
      <formula>0</formula>
    </cfRule>
    <cfRule type="cellIs" dxfId="7" priority="6" operator="greaterThan">
      <formula>0</formula>
    </cfRule>
  </conditionalFormatting>
  <dataValidations count="4">
    <dataValidation type="list" showInputMessage="1" showErrorMessage="1" errorTitle="Choose a listed option" error="Use the drop-down list to select a supported value." promptTitle="Dashboard filter" prompt="Choose an option from the drop-down. All charts and KPIs recalculate automatically; the trend always shows the full year." sqref="D5" xr:uid="{00000000-0002-0000-0000-000000000000}">
      <formula1>"2024,2025"</formula1>
    </dataValidation>
    <dataValidation type="list" showInputMessage="1" showErrorMessage="1" errorTitle="Choose a listed option" error="Use the drop-down list to select a supported value." promptTitle="Dashboard filter" prompt="Choose an option from the drop-down. All charts and KPIs recalculate automatically; the trend always shows the full year." sqref="I5" xr:uid="{00000000-0002-0000-0000-000001000000}">
      <formula1>"Full year,Q1,Q2,Q3,Q4"</formula1>
    </dataValidation>
    <dataValidation type="list" showInputMessage="1" showErrorMessage="1" errorTitle="Choose a listed option" error="Use the drop-down list to select a supported value." promptTitle="Dashboard filter" prompt="Choose an option from the drop-down. All charts and KPIs recalculate automatically; the trend always shows the full year." sqref="N5" xr:uid="{00000000-0002-0000-0000-000002000000}">
      <formula1>"All,East,North,South,West"</formula1>
    </dataValidation>
    <dataValidation type="list" showInputMessage="1" showErrorMessage="1" errorTitle="Choose a listed option" error="Use the drop-down list to select a supported value." promptTitle="Dashboard filter" prompt="Choose an option from the drop-down. All charts and KPIs recalculate automatically; the trend always shows the full year." sqref="S5" xr:uid="{00000000-0002-0000-0000-000003000000}">
      <formula1>"All,Direct,Online"</formula1>
    </dataValidation>
  </dataValidations>
  <printOptions horizontalCentered="1"/>
  <pageMargins left="0.25" right="0.25" top="0.25" bottom="0.2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8778A"/>
  </sheetPr>
  <dimension ref="A1:N80"/>
  <sheetViews>
    <sheetView showGridLines="0" zoomScale="90" zoomScaleNormal="90" workbookViewId="0">
      <pane ySplit="7" topLeftCell="A8" activePane="bottomLeft" state="frozen"/>
      <selection pane="bottomLeft"/>
    </sheetView>
  </sheetViews>
  <sheetFormatPr defaultRowHeight="13.5"/>
  <cols>
    <col min="1" max="1" width="3" customWidth="1"/>
    <col min="2" max="2" width="18" customWidth="1"/>
    <col min="3" max="12" width="17" customWidth="1"/>
    <col min="13" max="14" width="14" customWidth="1"/>
  </cols>
  <sheetData>
    <row r="1" spans="1:14" ht="2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3" customHeight="1">
      <c r="A2" s="1"/>
      <c r="B2" s="87" t="s">
        <v>18</v>
      </c>
      <c r="C2" s="87" t="s">
        <v>18</v>
      </c>
      <c r="D2" s="87" t="s">
        <v>18</v>
      </c>
      <c r="E2" s="87" t="s">
        <v>18</v>
      </c>
      <c r="F2" s="87" t="s">
        <v>18</v>
      </c>
      <c r="G2" s="87" t="s">
        <v>18</v>
      </c>
      <c r="H2" s="87" t="s">
        <v>18</v>
      </c>
      <c r="I2" s="87" t="s">
        <v>18</v>
      </c>
      <c r="J2" s="87" t="s">
        <v>18</v>
      </c>
      <c r="K2" s="87" t="s">
        <v>18</v>
      </c>
      <c r="L2" s="87" t="s">
        <v>18</v>
      </c>
      <c r="M2" s="1"/>
      <c r="N2" s="1"/>
    </row>
    <row r="3" spans="1:14" ht="23" customHeight="1">
      <c r="A3" s="1"/>
      <c r="B3" s="88" t="s">
        <v>19</v>
      </c>
      <c r="C3" s="88" t="s">
        <v>19</v>
      </c>
      <c r="D3" s="2">
        <f>IF(N3,DATE(Dashboard!D5,IF(Dashboard!I5="Full year",1,(VALUE(RIGHT(Dashboard!I5,1))-1)*3+1),1),0)</f>
        <v>45658</v>
      </c>
      <c r="E3" s="1"/>
      <c r="F3" s="1" t="s">
        <v>20</v>
      </c>
      <c r="G3" s="2">
        <f>IF(N3,EDATE(D3,IF(Dashboard!I5="Full year",12,3)),0)</f>
        <v>46023</v>
      </c>
      <c r="H3" s="1"/>
      <c r="I3" s="1" t="s">
        <v>5</v>
      </c>
      <c r="J3" s="1" t="str">
        <f>Dashboard!N5</f>
        <v>All</v>
      </c>
      <c r="K3" s="1" t="s">
        <v>7</v>
      </c>
      <c r="L3" s="1" t="str">
        <f>Dashboard!S5</f>
        <v>All</v>
      </c>
      <c r="M3" s="1" t="s">
        <v>21</v>
      </c>
      <c r="N3" s="1" t="b">
        <f>AND(OR(Dashboard!D5=2024,Dashboard!D5=2025),OR(Dashboard!I5="Full year",Dashboard!I5="Q1",Dashboard!I5="Q2",Dashboard!I5="Q3",Dashboard!I5="Q4"),OR(Dashboard!N5="All",Dashboard!N5="East",Dashboard!N5="North",Dashboard!N5="South",Dashboard!N5="West"),OR(Dashboard!S5="All",Dashboard!S5="Direct",Dashboard!S5="Online"))</f>
        <v>1</v>
      </c>
    </row>
    <row r="4" spans="1:14" ht="23" customHeight="1">
      <c r="A4" s="1"/>
      <c r="B4" s="88" t="s">
        <v>22</v>
      </c>
      <c r="C4" s="88" t="s">
        <v>22</v>
      </c>
      <c r="D4" s="88" t="s">
        <v>22</v>
      </c>
      <c r="E4" s="88" t="s">
        <v>22</v>
      </c>
      <c r="F4" s="88" t="s">
        <v>22</v>
      </c>
      <c r="G4" s="88" t="s">
        <v>22</v>
      </c>
      <c r="H4" s="88" t="s">
        <v>22</v>
      </c>
      <c r="I4" s="88" t="s">
        <v>22</v>
      </c>
      <c r="J4" s="88" t="s">
        <v>22</v>
      </c>
      <c r="K4" s="88" t="s">
        <v>22</v>
      </c>
      <c r="L4" s="88" t="s">
        <v>22</v>
      </c>
      <c r="M4" s="1"/>
      <c r="N4" s="1"/>
    </row>
    <row r="5" spans="1:14" ht="23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28.05" customHeight="1">
      <c r="A7" s="1"/>
      <c r="B7" s="5" t="s">
        <v>23</v>
      </c>
      <c r="C7" s="5" t="s">
        <v>8</v>
      </c>
      <c r="D7" s="5" t="s">
        <v>24</v>
      </c>
      <c r="E7" s="5" t="s">
        <v>9</v>
      </c>
      <c r="F7" s="5" t="s">
        <v>14</v>
      </c>
      <c r="G7" s="5" t="s">
        <v>25</v>
      </c>
      <c r="H7" s="5" t="s">
        <v>26</v>
      </c>
      <c r="I7" s="5" t="s">
        <v>27</v>
      </c>
      <c r="J7" s="5" t="s">
        <v>28</v>
      </c>
      <c r="K7" s="5" t="s">
        <v>29</v>
      </c>
      <c r="L7" s="5" t="s">
        <v>30</v>
      </c>
      <c r="M7" s="1"/>
      <c r="N7" s="1"/>
    </row>
    <row r="8" spans="1:14" ht="23" customHeight="1">
      <c r="A8" s="1"/>
      <c r="B8" s="6">
        <f>IF(AND($N$3,0&lt;IF(Dashboard!I5="Full year",12,3)),EDATE($D$3,0),"")</f>
        <v>45658</v>
      </c>
      <c r="C8" s="4">
        <f>IF(B8="","",SUMIFS(Data!$G$9:$G$584,Data!$A$9:$A$584,"&gt;="&amp;B8,Data!$A$9:$A$584,"&lt;"&amp;EDATE(B8,1),Data!$B$9:$B$584,IF($J$3="All","*",$J$3),Data!$D$9:$D$584,IF($L$3="All","*",$L$3))-SUMIFS(Data!$H$9:$H$584,Data!$A$9:$A$584,"&gt;="&amp;B8,Data!$A$9:$A$584,"&lt;"&amp;EDATE(B8,1),Data!$B$9:$B$584,IF($J$3="All","*",$J$3),Data!$D$9:$D$584,IF($L$3="All","*",$L$3)))</f>
        <v>540354.75</v>
      </c>
      <c r="D8" s="4">
        <f>IF(B8="","",SUMIFS(Data!$I$9:$I$584,Data!$A$9:$A$584,"&gt;="&amp;B8,Data!$A$9:$A$584,"&lt;"&amp;EDATE(B8,1),Data!$B$9:$B$584,IF($J$3="All","*",$J$3),Data!$D$9:$D$584,IF($L$3="All","*",$L$3)))</f>
        <v>371262.27000000008</v>
      </c>
      <c r="E8" s="4">
        <f t="shared" ref="E8:E19" si="0">IF(B8="","",C8-D8)</f>
        <v>169092.47999999992</v>
      </c>
      <c r="F8" s="7">
        <f t="shared" ref="F8:F19" si="1">IF(B8="","",IF(C8=0,"n.a.",E8/C8))</f>
        <v>0.31292864548706184</v>
      </c>
      <c r="G8" s="4">
        <f>IF(B8="","",SUMIFS(Data!$J$9:$J$584,Data!$A$9:$A$584,"&gt;="&amp;B8,Data!$A$9:$A$584,"&lt;"&amp;EDATE(B8,1),Data!$B$9:$B$584,IF($J$3="All","*",$J$3),Data!$D$9:$D$584,IF($L$3="All","*",$L$3)))</f>
        <v>553847.6399999999</v>
      </c>
      <c r="H8" s="4">
        <f t="shared" ref="H8:H19" si="2">IF(B8="","",C8-G8)</f>
        <v>-13492.889999999898</v>
      </c>
      <c r="I8" s="4">
        <f>IF(B8="","",IF(COUNTIFS(Data!$A$9:$A$584,"&gt;="&amp;EDATE(B8,-12),Data!$A$9:$A$584,"&lt;"&amp;EDATE(EDATE(B8,1),-12),Data!$B$9:$B$584,IF($J$3="All","*",$J$3),Data!$D$9:$D$584,IF($L$3="All","*",$L$3))=0,"n.a.",SUMIFS(Data!$G$9:$G$584,Data!$A$9:$A$584,"&gt;="&amp;EDATE(B8,-12),Data!$A$9:$A$584,"&lt;"&amp;EDATE(EDATE(B8,1),-12),Data!$B$9:$B$584,IF($J$3="All","*",$J$3),Data!$D$9:$D$584,IF($L$3="All","*",$L$3))-SUMIFS(Data!$H$9:$H$584,Data!$A$9:$A$584,"&gt;="&amp;EDATE(B8,-12),Data!$A$9:$A$584,"&lt;"&amp;EDATE(EDATE(B8,1),-12),Data!$B$9:$B$584,IF($J$3="All","*",$J$3),Data!$D$9:$D$584,IF($L$3="All","*",$L$3))))</f>
        <v>484123</v>
      </c>
      <c r="J8" s="7">
        <f t="shared" ref="J8:J19" si="3">IF(B8="","",IF(ISNUMBER(I8),IF(I8=0,"n.a.",C8/I8-1),"n.a."))</f>
        <v>0.11615178374090873</v>
      </c>
      <c r="K8" s="3">
        <f>IF(B8="","",SUMIFS(Data!$E$9:$E$584,Data!$A$9:$A$584,"&gt;="&amp;B8,Data!$A$9:$A$584,"&lt;"&amp;EDATE(B8,1),Data!$B$9:$B$584,IF($J$3="All","*",$J$3),Data!$D$9:$D$584,IF($L$3="All","*",$L$3)))</f>
        <v>1673</v>
      </c>
      <c r="L8" s="4">
        <f t="shared" ref="L8:L19" si="4">IF(B8="","",IF(K8=0,"n.a.",C8/K8))</f>
        <v>322.98550508069337</v>
      </c>
      <c r="M8" s="1"/>
      <c r="N8" s="1"/>
    </row>
    <row r="9" spans="1:14" ht="23" customHeight="1">
      <c r="A9" s="1"/>
      <c r="B9" s="6">
        <f>IF(AND($N$3,1&lt;IF(Dashboard!I5="Full year",12,3)),EDATE($D$3,1),"")</f>
        <v>45689</v>
      </c>
      <c r="C9" s="4">
        <f>IF(B9="","",SUMIFS(Data!$G$9:$G$584,Data!$A$9:$A$584,"&gt;="&amp;B9,Data!$A$9:$A$584,"&lt;"&amp;EDATE(B9,1),Data!$B$9:$B$584,IF($J$3="All","*",$J$3),Data!$D$9:$D$584,IF($L$3="All","*",$L$3))-SUMIFS(Data!$H$9:$H$584,Data!$A$9:$A$584,"&gt;="&amp;B9,Data!$A$9:$A$584,"&lt;"&amp;EDATE(B9,1),Data!$B$9:$B$584,IF($J$3="All","*",$J$3),Data!$D$9:$D$584,IF($L$3="All","*",$L$3)))</f>
        <v>567131.62</v>
      </c>
      <c r="D9" s="4">
        <f>IF(B9="","",SUMIFS(Data!$I$9:$I$584,Data!$A$9:$A$584,"&gt;="&amp;B9,Data!$A$9:$A$584,"&lt;"&amp;EDATE(B9,1),Data!$B$9:$B$584,IF($J$3="All","*",$J$3),Data!$D$9:$D$584,IF($L$3="All","*",$L$3)))</f>
        <v>389499.48</v>
      </c>
      <c r="E9" s="4">
        <f t="shared" si="0"/>
        <v>177632.14</v>
      </c>
      <c r="F9" s="7">
        <f t="shared" si="1"/>
        <v>0.31321149048257974</v>
      </c>
      <c r="G9" s="4">
        <f>IF(B9="","",SUMIFS(Data!$J$9:$J$584,Data!$A$9:$A$584,"&gt;="&amp;B9,Data!$A$9:$A$584,"&lt;"&amp;EDATE(B9,1),Data!$B$9:$B$584,IF($J$3="All","*",$J$3),Data!$D$9:$D$584,IF($L$3="All","*",$L$3)))</f>
        <v>586992.16999999993</v>
      </c>
      <c r="H9" s="4">
        <f t="shared" si="2"/>
        <v>-19860.54999999993</v>
      </c>
      <c r="I9" s="4">
        <f>IF(B9="","",IF(COUNTIFS(Data!$A$9:$A$584,"&gt;="&amp;EDATE(B9,-12),Data!$A$9:$A$584,"&lt;"&amp;EDATE(EDATE(B9,1),-12),Data!$B$9:$B$584,IF($J$3="All","*",$J$3),Data!$D$9:$D$584,IF($L$3="All","*",$L$3))=0,"n.a.",SUMIFS(Data!$G$9:$G$584,Data!$A$9:$A$584,"&gt;="&amp;EDATE(B9,-12),Data!$A$9:$A$584,"&lt;"&amp;EDATE(EDATE(B9,1),-12),Data!$B$9:$B$584,IF($J$3="All","*",$J$3),Data!$D$9:$D$584,IF($L$3="All","*",$L$3))-SUMIFS(Data!$H$9:$H$584,Data!$A$9:$A$584,"&gt;="&amp;EDATE(B9,-12),Data!$A$9:$A$584,"&lt;"&amp;EDATE(EDATE(B9,1),-12),Data!$B$9:$B$584,IF($J$3="All","*",$J$3),Data!$D$9:$D$584,IF($L$3="All","*",$L$3))))</f>
        <v>512875.05</v>
      </c>
      <c r="J9" s="7">
        <f t="shared" si="3"/>
        <v>0.10578906109782493</v>
      </c>
      <c r="K9" s="3">
        <f>IF(B9="","",SUMIFS(Data!$E$9:$E$584,Data!$A$9:$A$584,"&gt;="&amp;B9,Data!$A$9:$A$584,"&lt;"&amp;EDATE(B9,1),Data!$B$9:$B$584,IF($J$3="All","*",$J$3),Data!$D$9:$D$584,IF($L$3="All","*",$L$3)))</f>
        <v>1756</v>
      </c>
      <c r="L9" s="4">
        <f t="shared" si="4"/>
        <v>322.96789293849656</v>
      </c>
      <c r="M9" s="1"/>
      <c r="N9" s="1"/>
    </row>
    <row r="10" spans="1:14" ht="23" customHeight="1">
      <c r="A10" s="1"/>
      <c r="B10" s="6">
        <f>IF(AND($N$3,2&lt;IF(Dashboard!I5="Full year",12,3)),EDATE($D$3,2),"")</f>
        <v>45717</v>
      </c>
      <c r="C10" s="4">
        <f>IF(B10="","",SUMIFS(Data!$G$9:$G$584,Data!$A$9:$A$584,"&gt;="&amp;B10,Data!$A$9:$A$584,"&lt;"&amp;EDATE(B10,1),Data!$B$9:$B$584,IF($J$3="All","*",$J$3),Data!$D$9:$D$584,IF($L$3="All","*",$L$3))-SUMIFS(Data!$H$9:$H$584,Data!$A$9:$A$584,"&gt;="&amp;B10,Data!$A$9:$A$584,"&lt;"&amp;EDATE(B10,1),Data!$B$9:$B$584,IF($J$3="All","*",$J$3),Data!$D$9:$D$584,IF($L$3="All","*",$L$3)))</f>
        <v>649484.37</v>
      </c>
      <c r="D10" s="4">
        <f>IF(B10="","",SUMIFS(Data!$I$9:$I$584,Data!$A$9:$A$584,"&gt;="&amp;B10,Data!$A$9:$A$584,"&lt;"&amp;EDATE(B10,1),Data!$B$9:$B$584,IF($J$3="All","*",$J$3),Data!$D$9:$D$584,IF($L$3="All","*",$L$3)))</f>
        <v>448106.45999999996</v>
      </c>
      <c r="E10" s="4">
        <f t="shared" si="0"/>
        <v>201377.91000000003</v>
      </c>
      <c r="F10" s="7">
        <f t="shared" si="1"/>
        <v>0.31005813119105552</v>
      </c>
      <c r="G10" s="4">
        <f>IF(B10="","",SUMIFS(Data!$J$9:$J$584,Data!$A$9:$A$584,"&gt;="&amp;B10,Data!$A$9:$A$584,"&lt;"&amp;EDATE(B10,1),Data!$B$9:$B$584,IF($J$3="All","*",$J$3),Data!$D$9:$D$584,IF($L$3="All","*",$L$3)))</f>
        <v>657551.46</v>
      </c>
      <c r="H10" s="4">
        <f t="shared" si="2"/>
        <v>-8067.0899999999674</v>
      </c>
      <c r="I10" s="4">
        <f>IF(B10="","",IF(COUNTIFS(Data!$A$9:$A$584,"&gt;="&amp;EDATE(B10,-12),Data!$A$9:$A$584,"&lt;"&amp;EDATE(EDATE(B10,1),-12),Data!$B$9:$B$584,IF($J$3="All","*",$J$3),Data!$D$9:$D$584,IF($L$3="All","*",$L$3))=0,"n.a.",SUMIFS(Data!$G$9:$G$584,Data!$A$9:$A$584,"&gt;="&amp;EDATE(B10,-12),Data!$A$9:$A$584,"&lt;"&amp;EDATE(EDATE(B10,1),-12),Data!$B$9:$B$584,IF($J$3="All","*",$J$3),Data!$D$9:$D$584,IF($L$3="All","*",$L$3))-SUMIFS(Data!$H$9:$H$584,Data!$A$9:$A$584,"&gt;="&amp;EDATE(B10,-12),Data!$A$9:$A$584,"&lt;"&amp;EDATE(EDATE(B10,1),-12),Data!$B$9:$B$584,IF($J$3="All","*",$J$3),Data!$D$9:$D$584,IF($L$3="All","*",$L$3))))</f>
        <v>575404.21</v>
      </c>
      <c r="J10" s="7">
        <f t="shared" si="3"/>
        <v>0.12874455680468522</v>
      </c>
      <c r="K10" s="3">
        <f>IF(B10="","",SUMIFS(Data!$E$9:$E$584,Data!$A$9:$A$584,"&gt;="&amp;B10,Data!$A$9:$A$584,"&lt;"&amp;EDATE(B10,1),Data!$B$9:$B$584,IF($J$3="All","*",$J$3),Data!$D$9:$D$584,IF($L$3="All","*",$L$3)))</f>
        <v>2015</v>
      </c>
      <c r="L10" s="4">
        <f t="shared" si="4"/>
        <v>322.32474937965259</v>
      </c>
      <c r="M10" s="1"/>
      <c r="N10" s="1"/>
    </row>
    <row r="11" spans="1:14" ht="23" customHeight="1">
      <c r="A11" s="1"/>
      <c r="B11" s="6">
        <f>IF(AND($N$3,3&lt;IF(Dashboard!I5="Full year",12,3)),EDATE($D$3,3),"")</f>
        <v>45748</v>
      </c>
      <c r="C11" s="4">
        <f>IF(B11="","",SUMIFS(Data!$G$9:$G$584,Data!$A$9:$A$584,"&gt;="&amp;B11,Data!$A$9:$A$584,"&lt;"&amp;EDATE(B11,1),Data!$B$9:$B$584,IF($J$3="All","*",$J$3),Data!$D$9:$D$584,IF($L$3="All","*",$L$3))-SUMIFS(Data!$H$9:$H$584,Data!$A$9:$A$584,"&gt;="&amp;B11,Data!$A$9:$A$584,"&lt;"&amp;EDATE(B11,1),Data!$B$9:$B$584,IF($J$3="All","*",$J$3),Data!$D$9:$D$584,IF($L$3="All","*",$L$3)))</f>
        <v>618951.18000000005</v>
      </c>
      <c r="D11" s="4">
        <f>IF(B11="","",SUMIFS(Data!$I$9:$I$584,Data!$A$9:$A$584,"&gt;="&amp;B11,Data!$A$9:$A$584,"&lt;"&amp;EDATE(B11,1),Data!$B$9:$B$584,IF($J$3="All","*",$J$3),Data!$D$9:$D$584,IF($L$3="All","*",$L$3)))</f>
        <v>425438.46999999991</v>
      </c>
      <c r="E11" s="4">
        <f t="shared" si="0"/>
        <v>193512.71000000014</v>
      </c>
      <c r="F11" s="7">
        <f t="shared" si="1"/>
        <v>0.31264616055825295</v>
      </c>
      <c r="G11" s="4">
        <f>IF(B11="","",SUMIFS(Data!$J$9:$J$584,Data!$A$9:$A$584,"&gt;="&amp;B11,Data!$A$9:$A$584,"&lt;"&amp;EDATE(B11,1),Data!$B$9:$B$584,IF($J$3="All","*",$J$3),Data!$D$9:$D$584,IF($L$3="All","*",$L$3)))</f>
        <v>629001.28</v>
      </c>
      <c r="H11" s="4">
        <f t="shared" si="2"/>
        <v>-10050.099999999977</v>
      </c>
      <c r="I11" s="4">
        <f>IF(B11="","",IF(COUNTIFS(Data!$A$9:$A$584,"&gt;="&amp;EDATE(B11,-12),Data!$A$9:$A$584,"&lt;"&amp;EDATE(EDATE(B11,1),-12),Data!$B$9:$B$584,IF($J$3="All","*",$J$3),Data!$D$9:$D$584,IF($L$3="All","*",$L$3))=0,"n.a.",SUMIFS(Data!$G$9:$G$584,Data!$A$9:$A$584,"&gt;="&amp;EDATE(B11,-12),Data!$A$9:$A$584,"&lt;"&amp;EDATE(EDATE(B11,1),-12),Data!$B$9:$B$584,IF($J$3="All","*",$J$3),Data!$D$9:$D$584,IF($L$3="All","*",$L$3))-SUMIFS(Data!$H$9:$H$584,Data!$A$9:$A$584,"&gt;="&amp;EDATE(B11,-12),Data!$A$9:$A$584,"&lt;"&amp;EDATE(EDATE(B11,1),-12),Data!$B$9:$B$584,IF($J$3="All","*",$J$3),Data!$D$9:$D$584,IF($L$3="All","*",$L$3))))</f>
        <v>550580.31000000006</v>
      </c>
      <c r="J11" s="7">
        <f t="shared" si="3"/>
        <v>0.12417964965002115</v>
      </c>
      <c r="K11" s="3">
        <f>IF(B11="","",SUMIFS(Data!$E$9:$E$584,Data!$A$9:$A$584,"&gt;="&amp;B11,Data!$A$9:$A$584,"&lt;"&amp;EDATE(B11,1),Data!$B$9:$B$584,IF($J$3="All","*",$J$3),Data!$D$9:$D$584,IF($L$3="All","*",$L$3)))</f>
        <v>1905</v>
      </c>
      <c r="L11" s="4">
        <f t="shared" si="4"/>
        <v>324.90875590551184</v>
      </c>
      <c r="M11" s="1"/>
      <c r="N11" s="1"/>
    </row>
    <row r="12" spans="1:14" ht="23" customHeight="1">
      <c r="A12" s="1"/>
      <c r="B12" s="6">
        <f>IF(AND($N$3,4&lt;IF(Dashboard!I5="Full year",12,3)),EDATE($D$3,4),"")</f>
        <v>45778</v>
      </c>
      <c r="C12" s="4">
        <f>IF(B12="","",SUMIFS(Data!$G$9:$G$584,Data!$A$9:$A$584,"&gt;="&amp;B12,Data!$A$9:$A$584,"&lt;"&amp;EDATE(B12,1),Data!$B$9:$B$584,IF($J$3="All","*",$J$3),Data!$D$9:$D$584,IF($L$3="All","*",$L$3))-SUMIFS(Data!$H$9:$H$584,Data!$A$9:$A$584,"&gt;="&amp;B12,Data!$A$9:$A$584,"&lt;"&amp;EDATE(B12,1),Data!$B$9:$B$584,IF($J$3="All","*",$J$3),Data!$D$9:$D$584,IF($L$3="All","*",$L$3)))</f>
        <v>668236.2699999999</v>
      </c>
      <c r="D12" s="4">
        <f>IF(B12="","",SUMIFS(Data!$I$9:$I$584,Data!$A$9:$A$584,"&gt;="&amp;B12,Data!$A$9:$A$584,"&lt;"&amp;EDATE(B12,1),Data!$B$9:$B$584,IF($J$3="All","*",$J$3),Data!$D$9:$D$584,IF($L$3="All","*",$L$3)))</f>
        <v>459307.67</v>
      </c>
      <c r="E12" s="4">
        <f t="shared" si="0"/>
        <v>208928.59999999992</v>
      </c>
      <c r="F12" s="7">
        <f t="shared" si="1"/>
        <v>0.31265677931549563</v>
      </c>
      <c r="G12" s="4">
        <f>IF(B12="","",SUMIFS(Data!$J$9:$J$584,Data!$A$9:$A$584,"&gt;="&amp;B12,Data!$A$9:$A$584,"&lt;"&amp;EDATE(B12,1),Data!$B$9:$B$584,IF($J$3="All","*",$J$3),Data!$D$9:$D$584,IF($L$3="All","*",$L$3)))</f>
        <v>678089.49</v>
      </c>
      <c r="H12" s="4">
        <f t="shared" si="2"/>
        <v>-9853.2200000000885</v>
      </c>
      <c r="I12" s="4">
        <f>IF(B12="","",IF(COUNTIFS(Data!$A$9:$A$584,"&gt;="&amp;EDATE(B12,-12),Data!$A$9:$A$584,"&lt;"&amp;EDATE(EDATE(B12,1),-12),Data!$B$9:$B$584,IF($J$3="All","*",$J$3),Data!$D$9:$D$584,IF($L$3="All","*",$L$3))=0,"n.a.",SUMIFS(Data!$G$9:$G$584,Data!$A$9:$A$584,"&gt;="&amp;EDATE(B12,-12),Data!$A$9:$A$584,"&lt;"&amp;EDATE(EDATE(B12,1),-12),Data!$B$9:$B$584,IF($J$3="All","*",$J$3),Data!$D$9:$D$584,IF($L$3="All","*",$L$3))-SUMIFS(Data!$H$9:$H$584,Data!$A$9:$A$584,"&gt;="&amp;EDATE(B12,-12),Data!$A$9:$A$584,"&lt;"&amp;EDATE(EDATE(B12,1),-12),Data!$B$9:$B$584,IF($J$3="All","*",$J$3),Data!$D$9:$D$584,IF($L$3="All","*",$L$3))))</f>
        <v>593168.66</v>
      </c>
      <c r="J12" s="7">
        <f t="shared" si="3"/>
        <v>0.12655356741200707</v>
      </c>
      <c r="K12" s="3">
        <f>IF(B12="","",SUMIFS(Data!$E$9:$E$584,Data!$A$9:$A$584,"&gt;="&amp;B12,Data!$A$9:$A$584,"&lt;"&amp;EDATE(B12,1),Data!$B$9:$B$584,IF($J$3="All","*",$J$3),Data!$D$9:$D$584,IF($L$3="All","*",$L$3)))</f>
        <v>2070</v>
      </c>
      <c r="L12" s="4">
        <f t="shared" si="4"/>
        <v>322.81945410628015</v>
      </c>
      <c r="M12" s="1"/>
      <c r="N12" s="1"/>
    </row>
    <row r="13" spans="1:14" ht="23" customHeight="1">
      <c r="A13" s="1"/>
      <c r="B13" s="6">
        <f>IF(AND($N$3,5&lt;IF(Dashboard!I5="Full year",12,3)),EDATE($D$3,5),"")</f>
        <v>45809</v>
      </c>
      <c r="C13" s="4">
        <f>IF(B13="","",SUMIFS(Data!$G$9:$G$584,Data!$A$9:$A$584,"&gt;="&amp;B13,Data!$A$9:$A$584,"&lt;"&amp;EDATE(B13,1),Data!$B$9:$B$584,IF($J$3="All","*",$J$3),Data!$D$9:$D$584,IF($L$3="All","*",$L$3))-SUMIFS(Data!$H$9:$H$584,Data!$A$9:$A$584,"&gt;="&amp;B13,Data!$A$9:$A$584,"&lt;"&amp;EDATE(B13,1),Data!$B$9:$B$584,IF($J$3="All","*",$J$3),Data!$D$9:$D$584,IF($L$3="All","*",$L$3)))</f>
        <v>695956.58</v>
      </c>
      <c r="D13" s="4">
        <f>IF(B13="","",SUMIFS(Data!$I$9:$I$584,Data!$A$9:$A$584,"&gt;="&amp;B13,Data!$A$9:$A$584,"&lt;"&amp;EDATE(B13,1),Data!$B$9:$B$584,IF($J$3="All","*",$J$3),Data!$D$9:$D$584,IF($L$3="All","*",$L$3)))</f>
        <v>479158.16000000003</v>
      </c>
      <c r="E13" s="4">
        <f t="shared" si="0"/>
        <v>216798.41999999993</v>
      </c>
      <c r="F13" s="7">
        <f t="shared" si="1"/>
        <v>0.3115114164162367</v>
      </c>
      <c r="G13" s="4">
        <f>IF(B13="","",SUMIFS(Data!$J$9:$J$584,Data!$A$9:$A$584,"&gt;="&amp;B13,Data!$A$9:$A$584,"&lt;"&amp;EDATE(B13,1),Data!$B$9:$B$584,IF($J$3="All","*",$J$3),Data!$D$9:$D$584,IF($L$3="All","*",$L$3)))</f>
        <v>700310.21</v>
      </c>
      <c r="H13" s="4">
        <f t="shared" si="2"/>
        <v>-4353.6300000000047</v>
      </c>
      <c r="I13" s="4">
        <f>IF(B13="","",IF(COUNTIFS(Data!$A$9:$A$584,"&gt;="&amp;EDATE(B13,-12),Data!$A$9:$A$584,"&lt;"&amp;EDATE(EDATE(B13,1),-12),Data!$B$9:$B$584,IF($J$3="All","*",$J$3),Data!$D$9:$D$584,IF($L$3="All","*",$L$3))=0,"n.a.",SUMIFS(Data!$G$9:$G$584,Data!$A$9:$A$584,"&gt;="&amp;EDATE(B13,-12),Data!$A$9:$A$584,"&lt;"&amp;EDATE(EDATE(B13,1),-12),Data!$B$9:$B$584,IF($J$3="All","*",$J$3),Data!$D$9:$D$584,IF($L$3="All","*",$L$3))-SUMIFS(Data!$H$9:$H$584,Data!$A$9:$A$584,"&gt;="&amp;EDATE(B13,-12),Data!$A$9:$A$584,"&lt;"&amp;EDATE(EDATE(B13,1),-12),Data!$B$9:$B$584,IF($J$3="All","*",$J$3),Data!$D$9:$D$584,IF($L$3="All","*",$L$3))))</f>
        <v>612437.18000000005</v>
      </c>
      <c r="J13" s="7">
        <f t="shared" si="3"/>
        <v>0.13637219085882402</v>
      </c>
      <c r="K13" s="3">
        <f>IF(B13="","",SUMIFS(Data!$E$9:$E$584,Data!$A$9:$A$584,"&gt;="&amp;B13,Data!$A$9:$A$584,"&lt;"&amp;EDATE(B13,1),Data!$B$9:$B$584,IF($J$3="All","*",$J$3),Data!$D$9:$D$584,IF($L$3="All","*",$L$3)))</f>
        <v>2156</v>
      </c>
      <c r="L13" s="4">
        <f t="shared" si="4"/>
        <v>322.79989795918368</v>
      </c>
      <c r="M13" s="1"/>
      <c r="N13" s="1"/>
    </row>
    <row r="14" spans="1:14" ht="23" customHeight="1">
      <c r="A14" s="1"/>
      <c r="B14" s="6">
        <f>IF(AND($N$3,6&lt;IF(Dashboard!I5="Full year",12,3)),EDATE($D$3,6),"")</f>
        <v>45839</v>
      </c>
      <c r="C14" s="4">
        <f>IF(B14="","",SUMIFS(Data!$G$9:$G$584,Data!$A$9:$A$584,"&gt;="&amp;B14,Data!$A$9:$A$584,"&lt;"&amp;EDATE(B14,1),Data!$B$9:$B$584,IF($J$3="All","*",$J$3),Data!$D$9:$D$584,IF($L$3="All","*",$L$3))-SUMIFS(Data!$H$9:$H$584,Data!$A$9:$A$584,"&gt;="&amp;B14,Data!$A$9:$A$584,"&lt;"&amp;EDATE(B14,1),Data!$B$9:$B$584,IF($J$3="All","*",$J$3),Data!$D$9:$D$584,IF($L$3="All","*",$L$3)))</f>
        <v>631374.79000000015</v>
      </c>
      <c r="D14" s="4">
        <f>IF(B14="","",SUMIFS(Data!$I$9:$I$584,Data!$A$9:$A$584,"&gt;="&amp;B14,Data!$A$9:$A$584,"&lt;"&amp;EDATE(B14,1),Data!$B$9:$B$584,IF($J$3="All","*",$J$3),Data!$D$9:$D$584,IF($L$3="All","*",$L$3)))</f>
        <v>433869.54000000004</v>
      </c>
      <c r="E14" s="4">
        <f t="shared" si="0"/>
        <v>197505.25000000012</v>
      </c>
      <c r="F14" s="7">
        <f t="shared" si="1"/>
        <v>0.31281776391483745</v>
      </c>
      <c r="G14" s="4">
        <f>IF(B14="","",SUMIFS(Data!$J$9:$J$584,Data!$A$9:$A$584,"&gt;="&amp;B14,Data!$A$9:$A$584,"&lt;"&amp;EDATE(B14,1),Data!$B$9:$B$584,IF($J$3="All","*",$J$3),Data!$D$9:$D$584,IF($L$3="All","*",$L$3)))</f>
        <v>635021.72000000009</v>
      </c>
      <c r="H14" s="4">
        <f t="shared" si="2"/>
        <v>-3646.9299999999348</v>
      </c>
      <c r="I14" s="4">
        <f>IF(B14="","",IF(COUNTIFS(Data!$A$9:$A$584,"&gt;="&amp;EDATE(B14,-12),Data!$A$9:$A$584,"&lt;"&amp;EDATE(EDATE(B14,1),-12),Data!$B$9:$B$584,IF($J$3="All","*",$J$3),Data!$D$9:$D$584,IF($L$3="All","*",$L$3))=0,"n.a.",SUMIFS(Data!$G$9:$G$584,Data!$A$9:$A$584,"&gt;="&amp;EDATE(B14,-12),Data!$A$9:$A$584,"&lt;"&amp;EDATE(EDATE(B14,1),-12),Data!$B$9:$B$584,IF($J$3="All","*",$J$3),Data!$D$9:$D$584,IF($L$3="All","*",$L$3))-SUMIFS(Data!$H$9:$H$584,Data!$A$9:$A$584,"&gt;="&amp;EDATE(B14,-12),Data!$A$9:$A$584,"&lt;"&amp;EDATE(EDATE(B14,1),-12),Data!$B$9:$B$584,IF($J$3="All","*",$J$3),Data!$D$9:$D$584,IF($L$3="All","*",$L$3))))</f>
        <v>555483.32999999996</v>
      </c>
      <c r="J14" s="7">
        <f t="shared" si="3"/>
        <v>0.13662238973039975</v>
      </c>
      <c r="K14" s="3">
        <f>IF(B14="","",SUMIFS(Data!$E$9:$E$584,Data!$A$9:$A$584,"&gt;="&amp;B14,Data!$A$9:$A$584,"&lt;"&amp;EDATE(B14,1),Data!$B$9:$B$584,IF($J$3="All","*",$J$3),Data!$D$9:$D$584,IF($L$3="All","*",$L$3)))</f>
        <v>1966</v>
      </c>
      <c r="L14" s="4">
        <f t="shared" si="4"/>
        <v>321.14689216683627</v>
      </c>
      <c r="M14" s="1"/>
      <c r="N14" s="1"/>
    </row>
    <row r="15" spans="1:14" ht="23" customHeight="1">
      <c r="A15" s="1"/>
      <c r="B15" s="6">
        <f>IF(AND($N$3,7&lt;IF(Dashboard!I5="Full year",12,3)),EDATE($D$3,7),"")</f>
        <v>45870</v>
      </c>
      <c r="C15" s="4">
        <f>IF(B15="","",SUMIFS(Data!$G$9:$G$584,Data!$A$9:$A$584,"&gt;="&amp;B15,Data!$A$9:$A$584,"&lt;"&amp;EDATE(B15,1),Data!$B$9:$B$584,IF($J$3="All","*",$J$3),Data!$D$9:$D$584,IF($L$3="All","*",$L$3))-SUMIFS(Data!$H$9:$H$584,Data!$A$9:$A$584,"&gt;="&amp;B15,Data!$A$9:$A$584,"&lt;"&amp;EDATE(B15,1),Data!$B$9:$B$584,IF($J$3="All","*",$J$3),Data!$D$9:$D$584,IF($L$3="All","*",$L$3)))</f>
        <v>669964.23999999987</v>
      </c>
      <c r="D15" s="4">
        <f>IF(B15="","",SUMIFS(Data!$I$9:$I$584,Data!$A$9:$A$584,"&gt;="&amp;B15,Data!$A$9:$A$584,"&lt;"&amp;EDATE(B15,1),Data!$B$9:$B$584,IF($J$3="All","*",$J$3),Data!$D$9:$D$584,IF($L$3="All","*",$L$3)))</f>
        <v>460310.85000000009</v>
      </c>
      <c r="E15" s="4">
        <f t="shared" si="0"/>
        <v>209653.38999999978</v>
      </c>
      <c r="F15" s="7">
        <f t="shared" si="1"/>
        <v>0.31293220963554685</v>
      </c>
      <c r="G15" s="4">
        <f>IF(B15="","",SUMIFS(Data!$J$9:$J$584,Data!$A$9:$A$584,"&gt;="&amp;B15,Data!$A$9:$A$584,"&lt;"&amp;EDATE(B15,1),Data!$B$9:$B$584,IF($J$3="All","*",$J$3),Data!$D$9:$D$584,IF($L$3="All","*",$L$3)))</f>
        <v>682827.79</v>
      </c>
      <c r="H15" s="4">
        <f t="shared" si="2"/>
        <v>-12863.550000000163</v>
      </c>
      <c r="I15" s="4">
        <f>IF(B15="","",IF(COUNTIFS(Data!$A$9:$A$584,"&gt;="&amp;EDATE(B15,-12),Data!$A$9:$A$584,"&lt;"&amp;EDATE(EDATE(B15,1),-12),Data!$B$9:$B$584,IF($J$3="All","*",$J$3),Data!$D$9:$D$584,IF($L$3="All","*",$L$3))=0,"n.a.",SUMIFS(Data!$G$9:$G$584,Data!$A$9:$A$584,"&gt;="&amp;EDATE(B15,-12),Data!$A$9:$A$584,"&lt;"&amp;EDATE(EDATE(B15,1),-12),Data!$B$9:$B$584,IF($J$3="All","*",$J$3),Data!$D$9:$D$584,IF($L$3="All","*",$L$3))-SUMIFS(Data!$H$9:$H$584,Data!$A$9:$A$584,"&gt;="&amp;EDATE(B15,-12),Data!$A$9:$A$584,"&lt;"&amp;EDATE(EDATE(B15,1),-12),Data!$B$9:$B$584,IF($J$3="All","*",$J$3),Data!$D$9:$D$584,IF($L$3="All","*",$L$3))))</f>
        <v>597198.80000000005</v>
      </c>
      <c r="J15" s="7">
        <f t="shared" si="3"/>
        <v>0.12184458508623908</v>
      </c>
      <c r="K15" s="3">
        <f>IF(B15="","",SUMIFS(Data!$E$9:$E$584,Data!$A$9:$A$584,"&gt;="&amp;B15,Data!$A$9:$A$584,"&lt;"&amp;EDATE(B15,1),Data!$B$9:$B$584,IF($J$3="All","*",$J$3),Data!$D$9:$D$584,IF($L$3="All","*",$L$3)))</f>
        <v>2081</v>
      </c>
      <c r="L15" s="4">
        <f t="shared" si="4"/>
        <v>321.94341182123975</v>
      </c>
      <c r="M15" s="1"/>
      <c r="N15" s="1"/>
    </row>
    <row r="16" spans="1:14" ht="23" customHeight="1">
      <c r="A16" s="1"/>
      <c r="B16" s="6">
        <f>IF(AND($N$3,8&lt;IF(Dashboard!I5="Full year",12,3)),EDATE($D$3,8),"")</f>
        <v>45901</v>
      </c>
      <c r="C16" s="4">
        <f>IF(B16="","",SUMIFS(Data!$G$9:$G$584,Data!$A$9:$A$584,"&gt;="&amp;B16,Data!$A$9:$A$584,"&lt;"&amp;EDATE(B16,1),Data!$B$9:$B$584,IF($J$3="All","*",$J$3),Data!$D$9:$D$584,IF($L$3="All","*",$L$3))-SUMIFS(Data!$H$9:$H$584,Data!$A$9:$A$584,"&gt;="&amp;B16,Data!$A$9:$A$584,"&lt;"&amp;EDATE(B16,1),Data!$B$9:$B$584,IF($J$3="All","*",$J$3),Data!$D$9:$D$584,IF($L$3="All","*",$L$3)))</f>
        <v>742388.01</v>
      </c>
      <c r="D16" s="4">
        <f>IF(B16="","",SUMIFS(Data!$I$9:$I$584,Data!$A$9:$A$584,"&gt;="&amp;B16,Data!$A$9:$A$584,"&lt;"&amp;EDATE(B16,1),Data!$B$9:$B$584,IF($J$3="All","*",$J$3),Data!$D$9:$D$584,IF($L$3="All","*",$L$3)))</f>
        <v>510913.52</v>
      </c>
      <c r="E16" s="4">
        <f t="shared" si="0"/>
        <v>231474.49</v>
      </c>
      <c r="F16" s="7">
        <f t="shared" si="1"/>
        <v>0.31179718271581458</v>
      </c>
      <c r="G16" s="4">
        <f>IF(B16="","",SUMIFS(Data!$J$9:$J$584,Data!$A$9:$A$584,"&gt;="&amp;B16,Data!$A$9:$A$584,"&lt;"&amp;EDATE(B16,1),Data!$B$9:$B$584,IF($J$3="All","*",$J$3),Data!$D$9:$D$584,IF($L$3="All","*",$L$3)))</f>
        <v>743034.08</v>
      </c>
      <c r="H16" s="4">
        <f t="shared" si="2"/>
        <v>-646.06999999994878</v>
      </c>
      <c r="I16" s="4">
        <f>IF(B16="","",IF(COUNTIFS(Data!$A$9:$A$584,"&gt;="&amp;EDATE(B16,-12),Data!$A$9:$A$584,"&lt;"&amp;EDATE(EDATE(B16,1),-12),Data!$B$9:$B$584,IF($J$3="All","*",$J$3),Data!$D$9:$D$584,IF($L$3="All","*",$L$3))=0,"n.a.",SUMIFS(Data!$G$9:$G$584,Data!$A$9:$A$584,"&gt;="&amp;EDATE(B16,-12),Data!$A$9:$A$584,"&lt;"&amp;EDATE(EDATE(B16,1),-12),Data!$B$9:$B$584,IF($J$3="All","*",$J$3),Data!$D$9:$D$584,IF($L$3="All","*",$L$3))-SUMIFS(Data!$H$9:$H$584,Data!$A$9:$A$584,"&gt;="&amp;EDATE(B16,-12),Data!$A$9:$A$584,"&lt;"&amp;EDATE(EDATE(B16,1),-12),Data!$B$9:$B$584,IF($J$3="All","*",$J$3),Data!$D$9:$D$584,IF($L$3="All","*",$L$3))))</f>
        <v>649077.03</v>
      </c>
      <c r="J16" s="7">
        <f t="shared" si="3"/>
        <v>0.14375948568076735</v>
      </c>
      <c r="K16" s="3">
        <f>IF(B16="","",SUMIFS(Data!$E$9:$E$584,Data!$A$9:$A$584,"&gt;="&amp;B16,Data!$A$9:$A$584,"&lt;"&amp;EDATE(B16,1),Data!$B$9:$B$584,IF($J$3="All","*",$J$3),Data!$D$9:$D$584,IF($L$3="All","*",$L$3)))</f>
        <v>2303</v>
      </c>
      <c r="L16" s="4">
        <f t="shared" si="4"/>
        <v>322.3569300911854</v>
      </c>
      <c r="M16" s="1"/>
      <c r="N16" s="1"/>
    </row>
    <row r="17" spans="1:14" ht="23" customHeight="1">
      <c r="A17" s="1"/>
      <c r="B17" s="6">
        <f>IF(AND($N$3,9&lt;IF(Dashboard!I5="Full year",12,3)),EDATE($D$3,9),"")</f>
        <v>45931</v>
      </c>
      <c r="C17" s="4">
        <f>IF(B17="","",SUMIFS(Data!$G$9:$G$584,Data!$A$9:$A$584,"&gt;="&amp;B17,Data!$A$9:$A$584,"&lt;"&amp;EDATE(B17,1),Data!$B$9:$B$584,IF($J$3="All","*",$J$3),Data!$D$9:$D$584,IF($L$3="All","*",$L$3))-SUMIFS(Data!$H$9:$H$584,Data!$A$9:$A$584,"&gt;="&amp;B17,Data!$A$9:$A$584,"&lt;"&amp;EDATE(B17,1),Data!$B$9:$B$584,IF($J$3="All","*",$J$3),Data!$D$9:$D$584,IF($L$3="All","*",$L$3)))</f>
        <v>700346.55</v>
      </c>
      <c r="D17" s="4">
        <f>IF(B17="","",SUMIFS(Data!$I$9:$I$584,Data!$A$9:$A$584,"&gt;="&amp;B17,Data!$A$9:$A$584,"&lt;"&amp;EDATE(B17,1),Data!$B$9:$B$584,IF($J$3="All","*",$J$3),Data!$D$9:$D$584,IF($L$3="All","*",$L$3)))</f>
        <v>481368.61000000004</v>
      </c>
      <c r="E17" s="4">
        <f t="shared" si="0"/>
        <v>218977.94</v>
      </c>
      <c r="F17" s="7">
        <f t="shared" si="1"/>
        <v>0.31267083417488095</v>
      </c>
      <c r="G17" s="4">
        <f>IF(B17="","",SUMIFS(Data!$J$9:$J$584,Data!$A$9:$A$584,"&gt;="&amp;B17,Data!$A$9:$A$584,"&lt;"&amp;EDATE(B17,1),Data!$B$9:$B$584,IF($J$3="All","*",$J$3),Data!$D$9:$D$584,IF($L$3="All","*",$L$3)))</f>
        <v>749847.47000000009</v>
      </c>
      <c r="H17" s="4">
        <f t="shared" si="2"/>
        <v>-49500.920000000042</v>
      </c>
      <c r="I17" s="4">
        <f>IF(B17="","",IF(COUNTIFS(Data!$A$9:$A$584,"&gt;="&amp;EDATE(B17,-12),Data!$A$9:$A$584,"&lt;"&amp;EDATE(EDATE(B17,1),-12),Data!$B$9:$B$584,IF($J$3="All","*",$J$3),Data!$D$9:$D$584,IF($L$3="All","*",$L$3))=0,"n.a.",SUMIFS(Data!$G$9:$G$584,Data!$A$9:$A$584,"&gt;="&amp;EDATE(B17,-12),Data!$A$9:$A$584,"&lt;"&amp;EDATE(EDATE(B17,1),-12),Data!$B$9:$B$584,IF($J$3="All","*",$J$3),Data!$D$9:$D$584,IF($L$3="All","*",$L$3))-SUMIFS(Data!$H$9:$H$584,Data!$A$9:$A$584,"&gt;="&amp;EDATE(B17,-12),Data!$A$9:$A$584,"&lt;"&amp;EDATE(EDATE(B17,1),-12),Data!$B$9:$B$584,IF($J$3="All","*",$J$3),Data!$D$9:$D$584,IF($L$3="All","*",$L$3))))</f>
        <v>634050.75</v>
      </c>
      <c r="J17" s="7">
        <f t="shared" si="3"/>
        <v>0.10455913820778551</v>
      </c>
      <c r="K17" s="3">
        <f>IF(B17="","",SUMIFS(Data!$E$9:$E$584,Data!$A$9:$A$584,"&gt;="&amp;B17,Data!$A$9:$A$584,"&lt;"&amp;EDATE(B17,1),Data!$B$9:$B$584,IF($J$3="All","*",$J$3),Data!$D$9:$D$584,IF($L$3="All","*",$L$3)))</f>
        <v>2168</v>
      </c>
      <c r="L17" s="4">
        <f t="shared" si="4"/>
        <v>323.03807656826569</v>
      </c>
      <c r="M17" s="1"/>
      <c r="N17" s="1"/>
    </row>
    <row r="18" spans="1:14" ht="23" customHeight="1">
      <c r="A18" s="1"/>
      <c r="B18" s="6">
        <f>IF(AND($N$3,10&lt;IF(Dashboard!I5="Full year",12,3)),EDATE($D$3,10),"")</f>
        <v>45962</v>
      </c>
      <c r="C18" s="4">
        <f>IF(B18="","",SUMIFS(Data!$G$9:$G$584,Data!$A$9:$A$584,"&gt;="&amp;B18,Data!$A$9:$A$584,"&lt;"&amp;EDATE(B18,1),Data!$B$9:$B$584,IF($J$3="All","*",$J$3),Data!$D$9:$D$584,IF($L$3="All","*",$L$3))-SUMIFS(Data!$H$9:$H$584,Data!$A$9:$A$584,"&gt;="&amp;B18,Data!$A$9:$A$584,"&lt;"&amp;EDATE(B18,1),Data!$B$9:$B$584,IF($J$3="All","*",$J$3),Data!$D$9:$D$584,IF($L$3="All","*",$L$3)))</f>
        <v>852337.9800000001</v>
      </c>
      <c r="D18" s="4">
        <f>IF(B18="","",SUMIFS(Data!$I$9:$I$584,Data!$A$9:$A$584,"&gt;="&amp;B18,Data!$A$9:$A$584,"&lt;"&amp;EDATE(B18,1),Data!$B$9:$B$584,IF($J$3="All","*",$J$3),Data!$D$9:$D$584,IF($L$3="All","*",$L$3)))</f>
        <v>587040.44999999995</v>
      </c>
      <c r="E18" s="4">
        <f t="shared" si="0"/>
        <v>265297.53000000014</v>
      </c>
      <c r="F18" s="7">
        <f t="shared" si="1"/>
        <v>0.31125860424523161</v>
      </c>
      <c r="G18" s="4">
        <f>IF(B18="","",SUMIFS(Data!$J$9:$J$584,Data!$A$9:$A$584,"&gt;="&amp;B18,Data!$A$9:$A$584,"&lt;"&amp;EDATE(B18,1),Data!$B$9:$B$584,IF($J$3="All","*",$J$3),Data!$D$9:$D$584,IF($L$3="All","*",$L$3)))</f>
        <v>887559.59999999986</v>
      </c>
      <c r="H18" s="4">
        <f t="shared" si="2"/>
        <v>-35221.619999999763</v>
      </c>
      <c r="I18" s="4">
        <f>IF(B18="","",IF(COUNTIFS(Data!$A$9:$A$584,"&gt;="&amp;EDATE(B18,-12),Data!$A$9:$A$584,"&lt;"&amp;EDATE(EDATE(B18,1),-12),Data!$B$9:$B$584,IF($J$3="All","*",$J$3),Data!$D$9:$D$584,IF($L$3="All","*",$L$3))=0,"n.a.",SUMIFS(Data!$G$9:$G$584,Data!$A$9:$A$584,"&gt;="&amp;EDATE(B18,-12),Data!$A$9:$A$584,"&lt;"&amp;EDATE(EDATE(B18,1),-12),Data!$B$9:$B$584,IF($J$3="All","*",$J$3),Data!$D$9:$D$584,IF($L$3="All","*",$L$3))-SUMIFS(Data!$H$9:$H$584,Data!$A$9:$A$584,"&gt;="&amp;EDATE(B18,-12),Data!$A$9:$A$584,"&lt;"&amp;EDATE(EDATE(B18,1),-12),Data!$B$9:$B$584,IF($J$3="All","*",$J$3),Data!$D$9:$D$584,IF($L$3="All","*",$L$3))))</f>
        <v>750015.43</v>
      </c>
      <c r="J18" s="7">
        <f t="shared" si="3"/>
        <v>0.13642725990317306</v>
      </c>
      <c r="K18" s="3">
        <f>IF(B18="","",SUMIFS(Data!$E$9:$E$584,Data!$A$9:$A$584,"&gt;="&amp;B18,Data!$A$9:$A$584,"&lt;"&amp;EDATE(B18,1),Data!$B$9:$B$584,IF($J$3="All","*",$J$3),Data!$D$9:$D$584,IF($L$3="All","*",$L$3)))</f>
        <v>2650</v>
      </c>
      <c r="L18" s="4">
        <f t="shared" si="4"/>
        <v>321.63697358490572</v>
      </c>
      <c r="M18" s="1"/>
      <c r="N18" s="1"/>
    </row>
    <row r="19" spans="1:14" ht="23" customHeight="1">
      <c r="A19" s="1"/>
      <c r="B19" s="6">
        <f>IF(AND($N$3,11&lt;IF(Dashboard!I5="Full year",12,3)),EDATE($D$3,11),"")</f>
        <v>45992</v>
      </c>
      <c r="C19" s="4">
        <f>IF(B19="","",SUMIFS(Data!$G$9:$G$584,Data!$A$9:$A$584,"&gt;="&amp;B19,Data!$A$9:$A$584,"&lt;"&amp;EDATE(B19,1),Data!$B$9:$B$584,IF($J$3="All","*",$J$3),Data!$D$9:$D$584,IF($L$3="All","*",$L$3))-SUMIFS(Data!$H$9:$H$584,Data!$A$9:$A$584,"&gt;="&amp;B19,Data!$A$9:$A$584,"&lt;"&amp;EDATE(B19,1),Data!$B$9:$B$584,IF($J$3="All","*",$J$3),Data!$D$9:$D$584,IF($L$3="All","*",$L$3)))</f>
        <v>905905.97</v>
      </c>
      <c r="D19" s="4">
        <f>IF(B19="","",SUMIFS(Data!$I$9:$I$584,Data!$A$9:$A$584,"&gt;="&amp;B19,Data!$A$9:$A$584,"&lt;"&amp;EDATE(B19,1),Data!$B$9:$B$584,IF($J$3="All","*",$J$3),Data!$D$9:$D$584,IF($L$3="All","*",$L$3)))</f>
        <v>622308.64</v>
      </c>
      <c r="E19" s="4">
        <f t="shared" si="0"/>
        <v>283597.32999999996</v>
      </c>
      <c r="F19" s="7">
        <f t="shared" si="1"/>
        <v>0.31305382610515303</v>
      </c>
      <c r="G19" s="4">
        <f>IF(B19="","",SUMIFS(Data!$J$9:$J$584,Data!$A$9:$A$584,"&gt;="&amp;B19,Data!$A$9:$A$584,"&lt;"&amp;EDATE(B19,1),Data!$B$9:$B$584,IF($J$3="All","*",$J$3),Data!$D$9:$D$584,IF($L$3="All","*",$L$3)))</f>
        <v>947677.05</v>
      </c>
      <c r="H19" s="4">
        <f t="shared" si="2"/>
        <v>-41771.080000000075</v>
      </c>
      <c r="I19" s="4">
        <f>IF(B19="","",IF(COUNTIFS(Data!$A$9:$A$584,"&gt;="&amp;EDATE(B19,-12),Data!$A$9:$A$584,"&lt;"&amp;EDATE(EDATE(B19,1),-12),Data!$B$9:$B$584,IF($J$3="All","*",$J$3),Data!$D$9:$D$584,IF($L$3="All","*",$L$3))=0,"n.a.",SUMIFS(Data!$G$9:$G$584,Data!$A$9:$A$584,"&gt;="&amp;EDATE(B19,-12),Data!$A$9:$A$584,"&lt;"&amp;EDATE(EDATE(B19,1),-12),Data!$B$9:$B$584,IF($J$3="All","*",$J$3),Data!$D$9:$D$584,IF($L$3="All","*",$L$3))-SUMIFS(Data!$H$9:$H$584,Data!$A$9:$A$584,"&gt;="&amp;EDATE(B19,-12),Data!$A$9:$A$584,"&lt;"&amp;EDATE(EDATE(B19,1),-12),Data!$B$9:$B$584,IF($J$3="All","*",$J$3),Data!$D$9:$D$584,IF($L$3="All","*",$L$3))))</f>
        <v>800899.8</v>
      </c>
      <c r="J19" s="7">
        <f t="shared" si="3"/>
        <v>0.13111024625052958</v>
      </c>
      <c r="K19" s="3">
        <f>IF(B19="","",SUMIFS(Data!$E$9:$E$584,Data!$A$9:$A$584,"&gt;="&amp;B19,Data!$A$9:$A$584,"&lt;"&amp;EDATE(B19,1),Data!$B$9:$B$584,IF($J$3="All","*",$J$3),Data!$D$9:$D$584,IF($L$3="All","*",$L$3)))</f>
        <v>2804</v>
      </c>
      <c r="L19" s="4">
        <f t="shared" si="4"/>
        <v>323.07630884450782</v>
      </c>
      <c r="M19" s="1"/>
      <c r="N19" s="1"/>
    </row>
    <row r="20" spans="1:14" ht="23" customHeight="1">
      <c r="A20" s="1"/>
      <c r="B20" s="1"/>
      <c r="C20" s="4"/>
      <c r="D20" s="4"/>
      <c r="E20" s="4"/>
      <c r="F20" s="7"/>
      <c r="G20" s="4"/>
      <c r="H20" s="4"/>
      <c r="I20" s="4"/>
      <c r="J20" s="7"/>
      <c r="K20" s="3"/>
      <c r="L20" s="4"/>
      <c r="M20" s="1"/>
      <c r="N20" s="1"/>
    </row>
    <row r="21" spans="1:14" ht="23" customHeight="1">
      <c r="A21" s="1"/>
      <c r="B21" s="8" t="s">
        <v>31</v>
      </c>
      <c r="C21" s="9">
        <f>SUM(C8:C19)</f>
        <v>8242432.3100000005</v>
      </c>
      <c r="D21" s="9">
        <f>SUM(D8:D19)</f>
        <v>5668584.1200000001</v>
      </c>
      <c r="E21" s="9">
        <f>SUM(E8:E19)</f>
        <v>2573848.19</v>
      </c>
      <c r="F21" s="10">
        <f>IF(C21=0,"n.a.",E21/C21)</f>
        <v>0.31226804093705679</v>
      </c>
      <c r="G21" s="9">
        <f>SUM(G8:G19)</f>
        <v>8451759.959999999</v>
      </c>
      <c r="H21" s="9">
        <f>SUM(H8:H19)</f>
        <v>-209327.64999999979</v>
      </c>
      <c r="I21" s="9">
        <f>IF(COUNT(I8:I19)=0,"n.a.",SUM(I8:I19))</f>
        <v>7315313.5500000007</v>
      </c>
      <c r="J21" s="10">
        <f>IF(ISNUMBER(I21),IF(I21=0,"n.a.",C21/I21-1),"n.a.")</f>
        <v>0.12673670836706652</v>
      </c>
      <c r="K21" s="11">
        <f>SUM(K8:K19)</f>
        <v>25547</v>
      </c>
      <c r="L21" s="9">
        <f>IF(K21=0,"n.a.",C21/K21)</f>
        <v>322.6379735389674</v>
      </c>
      <c r="M21" s="1"/>
      <c r="N21" s="1"/>
    </row>
    <row r="22" spans="1:14" ht="23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23" customHeight="1">
      <c r="A23" s="1"/>
      <c r="B23" s="1" t="s">
        <v>11</v>
      </c>
      <c r="C23" s="7">
        <f>IF(G21=0,"n.a.",C21/G21)</f>
        <v>0.97523265556633265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23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28.05" customHeight="1">
      <c r="A25" s="1"/>
      <c r="B25" s="5" t="s">
        <v>13</v>
      </c>
      <c r="C25" s="5" t="s">
        <v>8</v>
      </c>
      <c r="D25" s="5" t="s">
        <v>24</v>
      </c>
      <c r="E25" s="5" t="s">
        <v>9</v>
      </c>
      <c r="F25" s="5" t="s">
        <v>14</v>
      </c>
      <c r="G25" s="5" t="s">
        <v>25</v>
      </c>
      <c r="H25" s="5" t="s">
        <v>26</v>
      </c>
      <c r="I25" s="5" t="s">
        <v>27</v>
      </c>
      <c r="J25" s="5" t="s">
        <v>28</v>
      </c>
      <c r="K25" s="5" t="s">
        <v>29</v>
      </c>
      <c r="L25" s="5" t="s">
        <v>30</v>
      </c>
      <c r="M25" s="1" t="s">
        <v>32</v>
      </c>
      <c r="N25" s="1"/>
    </row>
    <row r="26" spans="1:14" ht="23" customHeight="1">
      <c r="A26" s="1"/>
      <c r="B26" s="1" t="s">
        <v>33</v>
      </c>
      <c r="C26" s="4">
        <f>SUMIFS(Data!$G$9:$G$584,Data!$A$9:$A$584,"&gt;="&amp;$D$3,Data!$A$9:$A$584,"&lt;"&amp;$G$3,Data!$B$9:$B$584,IF($J$3="All","*",$J$3),Data!$D$9:$D$584,IF($L$3="All","*",$L$3),Data!$C$9:$C$584,B26)-SUMIFS(Data!$H$9:$H$584,Data!$A$9:$A$584,"&gt;="&amp;$D$3,Data!$A$9:$A$584,"&lt;"&amp;$G$3,Data!$B$9:$B$584,IF($J$3="All","*",$J$3),Data!$D$9:$D$584,IF($L$3="All","*",$L$3),Data!$C$9:$C$584,B26)</f>
        <v>1430315</v>
      </c>
      <c r="D26" s="4">
        <f>SUMIFS(Data!$I$9:$I$584,Data!$A$9:$A$584,"&gt;="&amp;$D$3,Data!$A$9:$A$584,"&lt;"&amp;$G$3,Data!$B$9:$B$584,IF($J$3="All","*",$J$3),Data!$D$9:$D$584,IF($L$3="All","*",$L$3),Data!$C$9:$C$584,B26)</f>
        <v>802000.09000000032</v>
      </c>
      <c r="E26" s="4">
        <f>C26-D26</f>
        <v>628314.90999999968</v>
      </c>
      <c r="F26" s="7">
        <f>IF(C26=0,"n.a.",E26/C26)</f>
        <v>0.43928429052341594</v>
      </c>
      <c r="G26" s="4">
        <f>SUMIFS(Data!$J$9:$J$584,Data!$A$9:$A$584,"&gt;="&amp;$D$3,Data!$A$9:$A$584,"&lt;"&amp;$G$3,Data!$B$9:$B$584,IF($J$3="All","*",$J$3),Data!$D$9:$D$584,IF($L$3="All","*",$L$3),Data!$C$9:$C$584,B26)</f>
        <v>1445314.8199999996</v>
      </c>
      <c r="H26" s="4">
        <f>C26-G26</f>
        <v>-14999.8199999996</v>
      </c>
      <c r="I26" s="4">
        <f>IF(COUNTIFS(Data!$A$9:$A$584,"&gt;="&amp;EDATE($D$3,-12),Data!$A$9:$A$584,"&lt;"&amp;EDATE($G$3,-12),Data!$B$9:$B$584,IF($J$3="All","*",$J$3),Data!$D$9:$D$584,IF($L$3="All","*",$L$3),Data!$C$9:$C$584,B26)=0,"n.a.",SUMIFS(Data!$G$9:$G$584,Data!$A$9:$A$584,"&gt;="&amp;EDATE($D$3,-12),Data!$A$9:$A$584,"&lt;"&amp;EDATE($G$3,-12),Data!$B$9:$B$584,IF($J$3="All","*",$J$3),Data!$D$9:$D$584,IF($L$3="All","*",$L$3),Data!$C$9:$C$584,B26)-SUMIFS(Data!$H$9:$H$584,Data!$A$9:$A$584,"&gt;="&amp;EDATE($D$3,-12),Data!$A$9:$A$584,"&lt;"&amp;EDATE($G$3,-12),Data!$B$9:$B$584,IF($J$3="All","*",$J$3),Data!$D$9:$D$584,IF($L$3="All","*",$L$3),Data!$C$9:$C$584,B26))</f>
        <v>1251018.8999999999</v>
      </c>
      <c r="J26" s="7">
        <f>IF(ISNUMBER(I26),IF(I26=0,"n.a.",C26/I26-1),"n.a.")</f>
        <v>0.14332005695517469</v>
      </c>
      <c r="K26" s="3">
        <f>SUMIFS(Data!$E$9:$E$584,Data!$A$9:$A$584,"&gt;="&amp;$D$3,Data!$A$9:$A$584,"&lt;"&amp;$G$3,Data!$B$9:$B$584,IF($J$3="All","*",$J$3),Data!$D$9:$D$584,IF($L$3="All","*",$L$3),Data!$C$9:$C$584,B26)</f>
        <v>7770</v>
      </c>
      <c r="L26" s="4">
        <f>IF(K26=0,"n.a.",C26/K26)</f>
        <v>184.08172458172459</v>
      </c>
      <c r="M26" s="1">
        <f>RANK(E26,$E$26:$E$28,0)+COUNTIFS($E$26:E26,E26)-1</f>
        <v>2</v>
      </c>
      <c r="N26" s="1"/>
    </row>
    <row r="27" spans="1:14" ht="23" customHeight="1">
      <c r="A27" s="1"/>
      <c r="B27" s="1" t="s">
        <v>34</v>
      </c>
      <c r="C27" s="4">
        <f>SUMIFS(Data!$G$9:$G$584,Data!$A$9:$A$584,"&gt;="&amp;$D$3,Data!$A$9:$A$584,"&lt;"&amp;$G$3,Data!$B$9:$B$584,IF($J$3="All","*",$J$3),Data!$D$9:$D$584,IF($L$3="All","*",$L$3),Data!$C$9:$C$584,B27)-SUMIFS(Data!$H$9:$H$584,Data!$A$9:$A$584,"&gt;="&amp;$D$3,Data!$A$9:$A$584,"&lt;"&amp;$G$3,Data!$B$9:$B$584,IF($J$3="All","*",$J$3),Data!$D$9:$D$584,IF($L$3="All","*",$L$3),Data!$C$9:$C$584,B27)</f>
        <v>2983640.03</v>
      </c>
      <c r="D27" s="4">
        <f>SUMIFS(Data!$I$9:$I$584,Data!$A$9:$A$584,"&gt;="&amp;$D$3,Data!$A$9:$A$584,"&lt;"&amp;$G$3,Data!$B$9:$B$584,IF($J$3="All","*",$J$3),Data!$D$9:$D$584,IF($L$3="All","*",$L$3),Data!$C$9:$C$584,B27)</f>
        <v>2397192.9</v>
      </c>
      <c r="E27" s="4">
        <f>C27-D27</f>
        <v>586447.12999999989</v>
      </c>
      <c r="F27" s="7">
        <f>IF(C27=0,"n.a.",E27/C27)</f>
        <v>0.19655425054744285</v>
      </c>
      <c r="G27" s="4">
        <f>SUMIFS(Data!$J$9:$J$584,Data!$A$9:$A$584,"&gt;="&amp;$D$3,Data!$A$9:$A$584,"&lt;"&amp;$G$3,Data!$B$9:$B$584,IF($J$3="All","*",$J$3),Data!$D$9:$D$584,IF($L$3="All","*",$L$3),Data!$C$9:$C$584,B27)</f>
        <v>3074549.8899999997</v>
      </c>
      <c r="H27" s="4">
        <f>C27-G27</f>
        <v>-90909.85999999987</v>
      </c>
      <c r="I27" s="4">
        <f>IF(COUNTIFS(Data!$A$9:$A$584,"&gt;="&amp;EDATE($D$3,-12),Data!$A$9:$A$584,"&lt;"&amp;EDATE($G$3,-12),Data!$B$9:$B$584,IF($J$3="All","*",$J$3),Data!$D$9:$D$584,IF($L$3="All","*",$L$3),Data!$C$9:$C$584,B27)=0,"n.a.",SUMIFS(Data!$G$9:$G$584,Data!$A$9:$A$584,"&gt;="&amp;EDATE($D$3,-12),Data!$A$9:$A$584,"&lt;"&amp;EDATE($G$3,-12),Data!$B$9:$B$584,IF($J$3="All","*",$J$3),Data!$D$9:$D$584,IF($L$3="All","*",$L$3),Data!$C$9:$C$584,B27)-SUMIFS(Data!$H$9:$H$584,Data!$A$9:$A$584,"&gt;="&amp;EDATE($D$3,-12),Data!$A$9:$A$584,"&lt;"&amp;EDATE($G$3,-12),Data!$B$9:$B$584,IF($J$3="All","*",$J$3),Data!$D$9:$D$584,IF($L$3="All","*",$L$3),Data!$C$9:$C$584,B27))</f>
        <v>2660139.3000000003</v>
      </c>
      <c r="J27" s="7">
        <f>IF(ISNUMBER(I27),IF(I27=0,"n.a.",C27/I27-1),"n.a.")</f>
        <v>0.1216104472423678</v>
      </c>
      <c r="K27" s="3">
        <f>SUMIFS(Data!$E$9:$E$584,Data!$A$9:$A$584,"&gt;="&amp;$D$3,Data!$A$9:$A$584,"&lt;"&amp;$G$3,Data!$B$9:$B$584,IF($J$3="All","*",$J$3),Data!$D$9:$D$584,IF($L$3="All","*",$L$3),Data!$C$9:$C$584,B27)</f>
        <v>8506</v>
      </c>
      <c r="L27" s="4">
        <f>IF(K27=0,"n.a.",C27/K27)</f>
        <v>350.76887256054545</v>
      </c>
      <c r="M27" s="1">
        <f>RANK(E27,$E$26:$E$28,0)+COUNTIFS($E$26:E27,E27)-1</f>
        <v>3</v>
      </c>
      <c r="N27" s="1"/>
    </row>
    <row r="28" spans="1:14" ht="23" customHeight="1">
      <c r="A28" s="1"/>
      <c r="B28" s="1" t="s">
        <v>35</v>
      </c>
      <c r="C28" s="4">
        <f>SUMIFS(Data!$G$9:$G$584,Data!$A$9:$A$584,"&gt;="&amp;$D$3,Data!$A$9:$A$584,"&lt;"&amp;$G$3,Data!$B$9:$B$584,IF($J$3="All","*",$J$3),Data!$D$9:$D$584,IF($L$3="All","*",$L$3),Data!$C$9:$C$584,B28)-SUMIFS(Data!$H$9:$H$584,Data!$A$9:$A$584,"&gt;="&amp;$D$3,Data!$A$9:$A$584,"&lt;"&amp;$G$3,Data!$B$9:$B$584,IF($J$3="All","*",$J$3),Data!$D$9:$D$584,IF($L$3="All","*",$L$3),Data!$C$9:$C$584,B28)</f>
        <v>3828477.2799999993</v>
      </c>
      <c r="D28" s="4">
        <f>SUMIFS(Data!$I$9:$I$584,Data!$A$9:$A$584,"&gt;="&amp;$D$3,Data!$A$9:$A$584,"&lt;"&amp;$G$3,Data!$B$9:$B$584,IF($J$3="All","*",$J$3),Data!$D$9:$D$584,IF($L$3="All","*",$L$3),Data!$C$9:$C$584,B28)</f>
        <v>2469391.129999999</v>
      </c>
      <c r="E28" s="4">
        <f>C28-D28</f>
        <v>1359086.1500000004</v>
      </c>
      <c r="F28" s="7">
        <f>IF(C28=0,"n.a.",E28/C28)</f>
        <v>0.35499391810417136</v>
      </c>
      <c r="G28" s="4">
        <f>SUMIFS(Data!$J$9:$J$584,Data!$A$9:$A$584,"&gt;="&amp;$D$3,Data!$A$9:$A$584,"&lt;"&amp;$G$3,Data!$B$9:$B$584,IF($J$3="All","*",$J$3),Data!$D$9:$D$584,IF($L$3="All","*",$L$3),Data!$C$9:$C$584,B28)</f>
        <v>3931895.2500000014</v>
      </c>
      <c r="H28" s="4">
        <f>C28-G28</f>
        <v>-103417.97000000207</v>
      </c>
      <c r="I28" s="4">
        <f>IF(COUNTIFS(Data!$A$9:$A$584,"&gt;="&amp;EDATE($D$3,-12),Data!$A$9:$A$584,"&lt;"&amp;EDATE($G$3,-12),Data!$B$9:$B$584,IF($J$3="All","*",$J$3),Data!$D$9:$D$584,IF($L$3="All","*",$L$3),Data!$C$9:$C$584,B28)=0,"n.a.",SUMIFS(Data!$G$9:$G$584,Data!$A$9:$A$584,"&gt;="&amp;EDATE($D$3,-12),Data!$A$9:$A$584,"&lt;"&amp;EDATE($G$3,-12),Data!$B$9:$B$584,IF($J$3="All","*",$J$3),Data!$D$9:$D$584,IF($L$3="All","*",$L$3),Data!$C$9:$C$584,B28)-SUMIFS(Data!$H$9:$H$584,Data!$A$9:$A$584,"&gt;="&amp;EDATE($D$3,-12),Data!$A$9:$A$584,"&lt;"&amp;EDATE($G$3,-12),Data!$B$9:$B$584,IF($J$3="All","*",$J$3),Data!$D$9:$D$584,IF($L$3="All","*",$L$3),Data!$C$9:$C$584,B28))</f>
        <v>3404155.35</v>
      </c>
      <c r="J28" s="7">
        <f>IF(ISNUMBER(I28),IF(I28=0,"n.a.",C28/I28-1),"n.a.")</f>
        <v>0.1246482273495535</v>
      </c>
      <c r="K28" s="3">
        <f>SUMIFS(Data!$E$9:$E$584,Data!$A$9:$A$584,"&gt;="&amp;$D$3,Data!$A$9:$A$584,"&lt;"&amp;$G$3,Data!$B$9:$B$584,IF($J$3="All","*",$J$3),Data!$D$9:$D$584,IF($L$3="All","*",$L$3),Data!$C$9:$C$584,B28)</f>
        <v>9271</v>
      </c>
      <c r="L28" s="4">
        <f>IF(K28=0,"n.a.",C28/K28)</f>
        <v>412.95192320138057</v>
      </c>
      <c r="M28" s="1">
        <f>RANK(E28,$E$26:$E$28,0)+COUNTIFS($E$26:E28,E28)-1</f>
        <v>1</v>
      </c>
      <c r="N28" s="1"/>
    </row>
    <row r="29" spans="1:14" ht="23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28.05" customHeight="1">
      <c r="A30" s="1"/>
      <c r="B30" s="5" t="s">
        <v>5</v>
      </c>
      <c r="C30" s="5" t="s">
        <v>8</v>
      </c>
      <c r="D30" s="5" t="s">
        <v>24</v>
      </c>
      <c r="E30" s="5" t="s">
        <v>9</v>
      </c>
      <c r="F30" s="5" t="s">
        <v>14</v>
      </c>
      <c r="G30" s="5" t="s">
        <v>25</v>
      </c>
      <c r="H30" s="5" t="s">
        <v>26</v>
      </c>
      <c r="I30" s="5" t="s">
        <v>27</v>
      </c>
      <c r="J30" s="5" t="s">
        <v>28</v>
      </c>
      <c r="K30" s="5" t="s">
        <v>29</v>
      </c>
      <c r="L30" s="5" t="s">
        <v>30</v>
      </c>
      <c r="M30" s="1" t="s">
        <v>36</v>
      </c>
      <c r="N30" s="1"/>
    </row>
    <row r="31" spans="1:14" ht="23" customHeight="1">
      <c r="A31" s="1"/>
      <c r="B31" s="1" t="s">
        <v>37</v>
      </c>
      <c r="C31" s="4">
        <f>IF(OR($J$3="All",$J$3=B31),SUMIFS(Data!$G$9:$G$584,Data!$A$9:$A$584,"&gt;="&amp;$D$3,Data!$A$9:$A$584,"&lt;"&amp;$G$3,Data!$B$9:$B$584,B31,Data!$D$9:$D$584,IF($L$3="All","*",$L$3))-SUMIFS(Data!$H$9:$H$584,Data!$A$9:$A$584,"&gt;="&amp;$D$3,Data!$A$9:$A$584,"&lt;"&amp;$G$3,Data!$B$9:$B$584,B31,Data!$D$9:$D$584,IF($L$3="All","*",$L$3)),0)</f>
        <v>1758474.7400000002</v>
      </c>
      <c r="D31" s="4">
        <f>IF(OR($J$3="All",$J$3=B31),SUMIFS(Data!$I$9:$I$584,Data!$A$9:$A$584,"&gt;="&amp;$D$3,Data!$A$9:$A$584,"&lt;"&amp;$G$3,Data!$B$9:$B$584,B31,Data!$D$9:$D$584,IF($L$3="All","*",$L$3)),0)</f>
        <v>1203737.78</v>
      </c>
      <c r="E31" s="4">
        <f>C31-D31</f>
        <v>554736.9600000002</v>
      </c>
      <c r="F31" s="7">
        <f>IF(C31=0,"n.a.",E31/C31)</f>
        <v>0.31546484426611676</v>
      </c>
      <c r="G31" s="4">
        <f>IF(OR($J$3="All",$J$3=B31),SUMIFS(Data!$J$9:$J$584,Data!$A$9:$A$584,"&gt;="&amp;$D$3,Data!$A$9:$A$584,"&lt;"&amp;$G$3,Data!$B$9:$B$584,B31,Data!$D$9:$D$584,IF($L$3="All","*",$L$3)),0)</f>
        <v>1713817.14</v>
      </c>
      <c r="H31" s="4">
        <f>C31-G31</f>
        <v>44657.600000000326</v>
      </c>
      <c r="I31" s="4">
        <f>IF(OR($J$3="All",$J$3=B31),IF(COUNTIFS(Data!$A$9:$A$584,"&gt;="&amp;EDATE($D$3,-12),Data!$A$9:$A$584,"&lt;"&amp;EDATE($G$3,-12),Data!$B$9:$B$584,B31,Data!$D$9:$D$584,IF($L$3="All","*",$L$3))=0,"n.a.",SUMIFS(Data!$G$9:$G$584,Data!$A$9:$A$584,"&gt;="&amp;EDATE($D$3,-12),Data!$A$9:$A$584,"&lt;"&amp;EDATE($G$3,-12),Data!$B$9:$B$584,B31,Data!$D$9:$D$584,IF($L$3="All","*",$L$3))-SUMIFS(Data!$H$9:$H$584,Data!$A$9:$A$584,"&gt;="&amp;EDATE($D$3,-12),Data!$A$9:$A$584,"&lt;"&amp;EDATE($G$3,-12),Data!$B$9:$B$584,B31,Data!$D$9:$D$584,IF($L$3="All","*",$L$3))),0)</f>
        <v>1541913.9</v>
      </c>
      <c r="J31" s="7">
        <f>IF(ISNUMBER(I31),IF(I31=0,"n.a.",C31/I31-1),"n.a.")</f>
        <v>0.14044937269195135</v>
      </c>
      <c r="K31" s="3">
        <f>IF(OR($J$3="All",$J$3=B31),SUMIFS(Data!$E$9:$E$584,Data!$A$9:$A$584,"&gt;="&amp;$D$3,Data!$A$9:$A$584,"&lt;"&amp;$G$3,Data!$B$9:$B$584,B31,Data!$D$9:$D$584,IF($L$3="All","*",$L$3)),0)</f>
        <v>5393</v>
      </c>
      <c r="L31" s="4">
        <f>IF(K31=0,"n.a.",C31/K31)</f>
        <v>326.06614871129244</v>
      </c>
      <c r="M31" s="1">
        <f>RANK(C31,$C$31:$C$34,0)+COUNTIFS($C$31:C31,C31)-1</f>
        <v>4</v>
      </c>
      <c r="N31" s="1"/>
    </row>
    <row r="32" spans="1:14" ht="23" customHeight="1">
      <c r="A32" s="1"/>
      <c r="B32" s="1" t="s">
        <v>38</v>
      </c>
      <c r="C32" s="4">
        <f>IF(OR($J$3="All",$J$3=B32),SUMIFS(Data!$G$9:$G$584,Data!$A$9:$A$584,"&gt;="&amp;$D$3,Data!$A$9:$A$584,"&lt;"&amp;$G$3,Data!$B$9:$B$584,B32,Data!$D$9:$D$584,IF($L$3="All","*",$L$3))-SUMIFS(Data!$H$9:$H$584,Data!$A$9:$A$584,"&gt;="&amp;$D$3,Data!$A$9:$A$584,"&lt;"&amp;$G$3,Data!$B$9:$B$584,B32,Data!$D$9:$D$584,IF($L$3="All","*",$L$3)),0)</f>
        <v>1932423.5200000005</v>
      </c>
      <c r="D32" s="4">
        <f>IF(OR($J$3="All",$J$3=B32),SUMIFS(Data!$I$9:$I$584,Data!$A$9:$A$584,"&gt;="&amp;$D$3,Data!$A$9:$A$584,"&lt;"&amp;$G$3,Data!$B$9:$B$584,B32,Data!$D$9:$D$584,IF($L$3="All","*",$L$3)),0)</f>
        <v>1323367.7600000002</v>
      </c>
      <c r="E32" s="4">
        <f>C32-D32</f>
        <v>609055.76000000024</v>
      </c>
      <c r="F32" s="7">
        <f>IF(C32=0,"n.a.",E32/C32)</f>
        <v>0.31517716157791337</v>
      </c>
      <c r="G32" s="4">
        <f>IF(OR($J$3="All",$J$3=B32),SUMIFS(Data!$J$9:$J$584,Data!$A$9:$A$584,"&gt;="&amp;$D$3,Data!$A$9:$A$584,"&lt;"&amp;$G$3,Data!$B$9:$B$584,B32,Data!$D$9:$D$584,IF($L$3="All","*",$L$3)),0)</f>
        <v>1944677.8699999999</v>
      </c>
      <c r="H32" s="4">
        <f>C32-G32</f>
        <v>-12254.349999999395</v>
      </c>
      <c r="I32" s="4">
        <f>IF(OR($J$3="All",$J$3=B32),IF(COUNTIFS(Data!$A$9:$A$584,"&gt;="&amp;EDATE($D$3,-12),Data!$A$9:$A$584,"&lt;"&amp;EDATE($G$3,-12),Data!$B$9:$B$584,B32,Data!$D$9:$D$584,IF($L$3="All","*",$L$3))=0,"n.a.",SUMIFS(Data!$G$9:$G$584,Data!$A$9:$A$584,"&gt;="&amp;EDATE($D$3,-12),Data!$A$9:$A$584,"&lt;"&amp;EDATE($G$3,-12),Data!$B$9:$B$584,B32,Data!$D$9:$D$584,IF($L$3="All","*",$L$3))-SUMIFS(Data!$H$9:$H$584,Data!$A$9:$A$584,"&gt;="&amp;EDATE($D$3,-12),Data!$A$9:$A$584,"&lt;"&amp;EDATE($G$3,-12),Data!$B$9:$B$584,B32,Data!$D$9:$D$584,IF($L$3="All","*",$L$3))),0)</f>
        <v>1749388.33</v>
      </c>
      <c r="J32" s="7">
        <f>IF(ISNUMBER(I32),IF(I32=0,"n.a.",C32/I32-1),"n.a.")</f>
        <v>0.1046281073568156</v>
      </c>
      <c r="K32" s="3">
        <f>IF(OR($J$3="All",$J$3=B32),SUMIFS(Data!$E$9:$E$584,Data!$A$9:$A$584,"&gt;="&amp;$D$3,Data!$A$9:$A$584,"&lt;"&amp;$G$3,Data!$B$9:$B$584,B32,Data!$D$9:$D$584,IF($L$3="All","*",$L$3)),0)</f>
        <v>5959</v>
      </c>
      <c r="L32" s="4">
        <f>IF(K32=0,"n.a.",C32/K32)</f>
        <v>324.2865447222689</v>
      </c>
      <c r="M32" s="1">
        <f>RANK(C32,$C$31:$C$34,0)+COUNTIFS($C$31:C32,C32)-1</f>
        <v>3</v>
      </c>
      <c r="N32" s="1"/>
    </row>
    <row r="33" spans="1:14" ht="23" customHeight="1">
      <c r="A33" s="1"/>
      <c r="B33" s="1" t="s">
        <v>39</v>
      </c>
      <c r="C33" s="4">
        <f>IF(OR($J$3="All",$J$3=B33),SUMIFS(Data!$G$9:$G$584,Data!$A$9:$A$584,"&gt;="&amp;$D$3,Data!$A$9:$A$584,"&lt;"&amp;$G$3,Data!$B$9:$B$584,B33,Data!$D$9:$D$584,IF($L$3="All","*",$L$3))-SUMIFS(Data!$H$9:$H$584,Data!$A$9:$A$584,"&gt;="&amp;$D$3,Data!$A$9:$A$584,"&lt;"&amp;$G$3,Data!$B$9:$B$584,B33,Data!$D$9:$D$584,IF($L$3="All","*",$L$3)),0)</f>
        <v>2190964.4899999998</v>
      </c>
      <c r="D33" s="4">
        <f>IF(OR($J$3="All",$J$3=B33),SUMIFS(Data!$I$9:$I$584,Data!$A$9:$A$584,"&gt;="&amp;$D$3,Data!$A$9:$A$584,"&lt;"&amp;$G$3,Data!$B$9:$B$584,B33,Data!$D$9:$D$584,IF($L$3="All","*",$L$3)),0)</f>
        <v>1498052.3800000001</v>
      </c>
      <c r="E33" s="4">
        <f>C33-D33</f>
        <v>692912.10999999964</v>
      </c>
      <c r="F33" s="7">
        <f>IF(C33=0,"n.a.",E33/C33)</f>
        <v>0.31625894128480364</v>
      </c>
      <c r="G33" s="4">
        <f>IF(OR($J$3="All",$J$3=B33),SUMIFS(Data!$J$9:$J$584,Data!$A$9:$A$584,"&gt;="&amp;$D$3,Data!$A$9:$A$584,"&lt;"&amp;$G$3,Data!$B$9:$B$584,B33,Data!$D$9:$D$584,IF($L$3="All","*",$L$3)),0)</f>
        <v>2119984.4299999992</v>
      </c>
      <c r="H33" s="4">
        <f>C33-G33</f>
        <v>70980.060000000522</v>
      </c>
      <c r="I33" s="4">
        <f>IF(OR($J$3="All",$J$3=B33),IF(COUNTIFS(Data!$A$9:$A$584,"&gt;="&amp;EDATE($D$3,-12),Data!$A$9:$A$584,"&lt;"&amp;EDATE($G$3,-12),Data!$B$9:$B$584,B33,Data!$D$9:$D$584,IF($L$3="All","*",$L$3))=0,"n.a.",SUMIFS(Data!$G$9:$G$584,Data!$A$9:$A$584,"&gt;="&amp;EDATE($D$3,-12),Data!$A$9:$A$584,"&lt;"&amp;EDATE($G$3,-12),Data!$B$9:$B$584,B33,Data!$D$9:$D$584,IF($L$3="All","*",$L$3))-SUMIFS(Data!$H$9:$H$584,Data!$A$9:$A$584,"&gt;="&amp;EDATE($D$3,-12),Data!$A$9:$A$584,"&lt;"&amp;EDATE($G$3,-12),Data!$B$9:$B$584,B33,Data!$D$9:$D$584,IF($L$3="All","*",$L$3))),0)</f>
        <v>1907367.76</v>
      </c>
      <c r="J33" s="7">
        <f>IF(ISNUMBER(I33),IF(I33=0,"n.a.",C33/I33-1),"n.a.")</f>
        <v>0.14868487134332176</v>
      </c>
      <c r="K33" s="3">
        <f>IF(OR($J$3="All",$J$3=B33),SUMIFS(Data!$E$9:$E$584,Data!$A$9:$A$584,"&gt;="&amp;$D$3,Data!$A$9:$A$584,"&lt;"&amp;$G$3,Data!$B$9:$B$584,B33,Data!$D$9:$D$584,IF($L$3="All","*",$L$3)),0)</f>
        <v>6766</v>
      </c>
      <c r="L33" s="4">
        <f>IF(K33=0,"n.a.",C33/K33)</f>
        <v>323.81975908956542</v>
      </c>
      <c r="M33" s="1">
        <f>RANK(C33,$C$31:$C$34,0)+COUNTIFS($C$31:C33,C33)-1</f>
        <v>2</v>
      </c>
      <c r="N33" s="1"/>
    </row>
    <row r="34" spans="1:14" ht="23" customHeight="1">
      <c r="A34" s="1"/>
      <c r="B34" s="1" t="s">
        <v>40</v>
      </c>
      <c r="C34" s="4">
        <f>IF(OR($J$3="All",$J$3=B34),SUMIFS(Data!$G$9:$G$584,Data!$A$9:$A$584,"&gt;="&amp;$D$3,Data!$A$9:$A$584,"&lt;"&amp;$G$3,Data!$B$9:$B$584,B34,Data!$D$9:$D$584,IF($L$3="All","*",$L$3))-SUMIFS(Data!$H$9:$H$584,Data!$A$9:$A$584,"&gt;="&amp;$D$3,Data!$A$9:$A$584,"&lt;"&amp;$G$3,Data!$B$9:$B$584,B34,Data!$D$9:$D$584,IF($L$3="All","*",$L$3)),0)</f>
        <v>2360569.56</v>
      </c>
      <c r="D34" s="4">
        <f>IF(OR($J$3="All",$J$3=B34),SUMIFS(Data!$I$9:$I$584,Data!$A$9:$A$584,"&gt;="&amp;$D$3,Data!$A$9:$A$584,"&lt;"&amp;$G$3,Data!$B$9:$B$584,B34,Data!$D$9:$D$584,IF($L$3="All","*",$L$3)),0)</f>
        <v>1643426.1999999997</v>
      </c>
      <c r="E34" s="4">
        <f>C34-D34</f>
        <v>717143.36000000034</v>
      </c>
      <c r="F34" s="7">
        <f>IF(C34=0,"n.a.",E34/C34)</f>
        <v>0.30380098606371941</v>
      </c>
      <c r="G34" s="4">
        <f>IF(OR($J$3="All",$J$3=B34),SUMIFS(Data!$J$9:$J$584,Data!$A$9:$A$584,"&gt;="&amp;$D$3,Data!$A$9:$A$584,"&lt;"&amp;$G$3,Data!$B$9:$B$584,B34,Data!$D$9:$D$584,IF($L$3="All","*",$L$3)),0)</f>
        <v>2673280.5199999996</v>
      </c>
      <c r="H34" s="4">
        <f>C34-G34</f>
        <v>-312710.9599999995</v>
      </c>
      <c r="I34" s="4">
        <f>IF(OR($J$3="All",$J$3=B34),IF(COUNTIFS(Data!$A$9:$A$584,"&gt;="&amp;EDATE($D$3,-12),Data!$A$9:$A$584,"&lt;"&amp;EDATE($G$3,-12),Data!$B$9:$B$584,B34,Data!$D$9:$D$584,IF($L$3="All","*",$L$3))=0,"n.a.",SUMIFS(Data!$G$9:$G$584,Data!$A$9:$A$584,"&gt;="&amp;EDATE($D$3,-12),Data!$A$9:$A$584,"&lt;"&amp;EDATE($G$3,-12),Data!$B$9:$B$584,B34,Data!$D$9:$D$584,IF($L$3="All","*",$L$3))-SUMIFS(Data!$H$9:$H$584,Data!$A$9:$A$584,"&gt;="&amp;EDATE($D$3,-12),Data!$A$9:$A$584,"&lt;"&amp;EDATE($G$3,-12),Data!$B$9:$B$584,B34,Data!$D$9:$D$584,IF($L$3="All","*",$L$3))),0)</f>
        <v>2116643.56</v>
      </c>
      <c r="J34" s="7">
        <f>IF(ISNUMBER(I34),IF(I34=0,"n.a.",C34/I34-1),"n.a.")</f>
        <v>0.11524188796341317</v>
      </c>
      <c r="K34" s="3">
        <f>IF(OR($J$3="All",$J$3=B34),SUMIFS(Data!$E$9:$E$584,Data!$A$9:$A$584,"&gt;="&amp;$D$3,Data!$A$9:$A$584,"&lt;"&amp;$G$3,Data!$B$9:$B$584,B34,Data!$D$9:$D$584,IF($L$3="All","*",$L$3)),0)</f>
        <v>7429</v>
      </c>
      <c r="L34" s="4">
        <f>IF(K34=0,"n.a.",C34/K34)</f>
        <v>317.75064746264638</v>
      </c>
      <c r="M34" s="1">
        <f>RANK(C34,$C$31:$C$34,0)+COUNTIFS($C$31:C34,C34)-1</f>
        <v>1</v>
      </c>
      <c r="N34" s="1"/>
    </row>
    <row r="35" spans="1:14" ht="23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2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28.05" customHeight="1">
      <c r="A37" s="1"/>
      <c r="B37" s="5" t="s">
        <v>13</v>
      </c>
      <c r="C37" s="5" t="s">
        <v>8</v>
      </c>
      <c r="D37" s="5" t="s">
        <v>9</v>
      </c>
      <c r="E37" s="5" t="s">
        <v>14</v>
      </c>
      <c r="F37" s="5" t="s">
        <v>15</v>
      </c>
      <c r="G37" s="1"/>
      <c r="H37" s="5" t="s">
        <v>41</v>
      </c>
      <c r="I37" s="5" t="s">
        <v>8</v>
      </c>
      <c r="J37" s="5" t="s">
        <v>42</v>
      </c>
      <c r="K37" s="1"/>
      <c r="L37" s="1"/>
      <c r="M37" s="1"/>
      <c r="N37" s="1"/>
    </row>
    <row r="38" spans="1:14" ht="23" customHeight="1">
      <c r="A38" s="1"/>
      <c r="B38" s="1" t="str">
        <f>INDEX($B$26:$B$28,MATCH(1,$M$26:$M$28,0))</f>
        <v>Technology</v>
      </c>
      <c r="C38" s="4">
        <f>INDEX($C$26:$C$28,MATCH(1,$M$26:$M$28,0))</f>
        <v>3828477.2799999993</v>
      </c>
      <c r="D38" s="4">
        <f>INDEX($E$26:$E$28,MATCH(1,$M$26:$M$28,0))</f>
        <v>1359086.1500000004</v>
      </c>
      <c r="E38" s="7">
        <f>INDEX($F$26:$F$28,MATCH(1,$M$26:$M$28,0))</f>
        <v>0.35499391810417136</v>
      </c>
      <c r="F38" s="4">
        <f>INDEX($H$26:$H$28,MATCH(1,$M$26:$M$28,0))</f>
        <v>-103417.97000000207</v>
      </c>
      <c r="G38" s="1"/>
      <c r="H38" s="1" t="str">
        <f>IF($N$3,TEXT(DATE(Dashboard!$D$5,1,1),"mmm"),"")</f>
        <v>Jan</v>
      </c>
      <c r="I38" s="4">
        <f>IF($N$3,SUMIFS(Data!$G$9:$G$584,Data!$A$9:$A$584,"&gt;="&amp;DATE(Dashboard!$D$5,1,1),Data!$A$9:$A$584,"&lt;"&amp;EDATE(DATE(Dashboard!$D$5,1,1),1),Data!$B$9:$B$584,IF($J$3="All","*",$J$3),Data!$D$9:$D$584,IF($L$3="All","*",$L$3))-SUMIFS(Data!$H$9:$H$584,Data!$A$9:$A$584,"&gt;="&amp;DATE(Dashboard!$D$5,1,1),Data!$A$9:$A$584,"&lt;"&amp;EDATE(DATE(Dashboard!$D$5,1,1),1),Data!$B$9:$B$584,IF($J$3="All","*",$J$3),Data!$D$9:$D$584,IF($L$3="All","*",$L$3)),"")</f>
        <v>540354.75</v>
      </c>
      <c r="J38" s="4">
        <f>IF($N$3,SUMIFS(Data!$J$9:$J$584,Data!$A$9:$A$584,"&gt;="&amp;DATE(Dashboard!$D$5,1,1),Data!$A$9:$A$584,"&lt;"&amp;EDATE(DATE(Dashboard!$D$5,1,1),1),Data!$B$9:$B$584,IF($J$3="All","*",$J$3),Data!$D$9:$D$584,IF($L$3="All","*",$L$3)),"")</f>
        <v>553847.6399999999</v>
      </c>
      <c r="K38" s="1"/>
      <c r="L38" s="1"/>
      <c r="M38" s="1"/>
      <c r="N38" s="1"/>
    </row>
    <row r="39" spans="1:14" ht="23" customHeight="1">
      <c r="A39" s="1"/>
      <c r="B39" s="1" t="str">
        <f>INDEX($B$26:$B$28,MATCH(2,$M$26:$M$28,0))</f>
        <v>Essentials</v>
      </c>
      <c r="C39" s="4">
        <f>INDEX($C$26:$C$28,MATCH(2,$M$26:$M$28,0))</f>
        <v>1430315</v>
      </c>
      <c r="D39" s="4">
        <f>INDEX($E$26:$E$28,MATCH(2,$M$26:$M$28,0))</f>
        <v>628314.90999999968</v>
      </c>
      <c r="E39" s="7">
        <f>INDEX($F$26:$F$28,MATCH(2,$M$26:$M$28,0))</f>
        <v>0.43928429052341594</v>
      </c>
      <c r="F39" s="4">
        <f>INDEX($H$26:$H$28,MATCH(2,$M$26:$M$28,0))</f>
        <v>-14999.8199999996</v>
      </c>
      <c r="G39" s="1"/>
      <c r="H39" s="1" t="str">
        <f>IF($N$3,TEXT(DATE(Dashboard!$D$5,2,1),"mmm"),"")</f>
        <v>Feb</v>
      </c>
      <c r="I39" s="4">
        <f>IF($N$3,SUMIFS(Data!$G$9:$G$584,Data!$A$9:$A$584,"&gt;="&amp;DATE(Dashboard!$D$5,2,1),Data!$A$9:$A$584,"&lt;"&amp;EDATE(DATE(Dashboard!$D$5,2,1),1),Data!$B$9:$B$584,IF($J$3="All","*",$J$3),Data!$D$9:$D$584,IF($L$3="All","*",$L$3))-SUMIFS(Data!$H$9:$H$584,Data!$A$9:$A$584,"&gt;="&amp;DATE(Dashboard!$D$5,2,1),Data!$A$9:$A$584,"&lt;"&amp;EDATE(DATE(Dashboard!$D$5,2,1),1),Data!$B$9:$B$584,IF($J$3="All","*",$J$3),Data!$D$9:$D$584,IF($L$3="All","*",$L$3)),"")</f>
        <v>567131.62</v>
      </c>
      <c r="J39" s="4">
        <f>IF($N$3,SUMIFS(Data!$J$9:$J$584,Data!$A$9:$A$584,"&gt;="&amp;DATE(Dashboard!$D$5,2,1),Data!$A$9:$A$584,"&lt;"&amp;EDATE(DATE(Dashboard!$D$5,2,1),1),Data!$B$9:$B$584,IF($J$3="All","*",$J$3),Data!$D$9:$D$584,IF($L$3="All","*",$L$3)),"")</f>
        <v>586992.16999999993</v>
      </c>
      <c r="K39" s="1"/>
      <c r="L39" s="1"/>
      <c r="M39" s="1"/>
      <c r="N39" s="1"/>
    </row>
    <row r="40" spans="1:14" ht="23" customHeight="1">
      <c r="A40" s="1"/>
      <c r="B40" s="1" t="str">
        <f>INDEX($B$26:$B$28,MATCH(3,$M$26:$M$28,0))</f>
        <v>Furniture</v>
      </c>
      <c r="C40" s="4">
        <f>INDEX($C$26:$C$28,MATCH(3,$M$26:$M$28,0))</f>
        <v>2983640.03</v>
      </c>
      <c r="D40" s="4">
        <f>INDEX($E$26:$E$28,MATCH(3,$M$26:$M$28,0))</f>
        <v>586447.12999999989</v>
      </c>
      <c r="E40" s="7">
        <f>INDEX($F$26:$F$28,MATCH(3,$M$26:$M$28,0))</f>
        <v>0.19655425054744285</v>
      </c>
      <c r="F40" s="4">
        <f>INDEX($H$26:$H$28,MATCH(3,$M$26:$M$28,0))</f>
        <v>-90909.85999999987</v>
      </c>
      <c r="G40" s="1"/>
      <c r="H40" s="1" t="str">
        <f>IF($N$3,TEXT(DATE(Dashboard!$D$5,3,1),"mmm"),"")</f>
        <v>Mar</v>
      </c>
      <c r="I40" s="4">
        <f>IF($N$3,SUMIFS(Data!$G$9:$G$584,Data!$A$9:$A$584,"&gt;="&amp;DATE(Dashboard!$D$5,3,1),Data!$A$9:$A$584,"&lt;"&amp;EDATE(DATE(Dashboard!$D$5,3,1),1),Data!$B$9:$B$584,IF($J$3="All","*",$J$3),Data!$D$9:$D$584,IF($L$3="All","*",$L$3))-SUMIFS(Data!$H$9:$H$584,Data!$A$9:$A$584,"&gt;="&amp;DATE(Dashboard!$D$5,3,1),Data!$A$9:$A$584,"&lt;"&amp;EDATE(DATE(Dashboard!$D$5,3,1),1),Data!$B$9:$B$584,IF($J$3="All","*",$J$3),Data!$D$9:$D$584,IF($L$3="All","*",$L$3)),"")</f>
        <v>649484.37</v>
      </c>
      <c r="J40" s="4">
        <f>IF($N$3,SUMIFS(Data!$J$9:$J$584,Data!$A$9:$A$584,"&gt;="&amp;DATE(Dashboard!$D$5,3,1),Data!$A$9:$A$584,"&lt;"&amp;EDATE(DATE(Dashboard!$D$5,3,1),1),Data!$B$9:$B$584,IF($J$3="All","*",$J$3),Data!$D$9:$D$584,IF($L$3="All","*",$L$3)),"")</f>
        <v>657551.46</v>
      </c>
      <c r="K40" s="1"/>
      <c r="L40" s="1"/>
      <c r="M40" s="1"/>
      <c r="N40" s="1"/>
    </row>
    <row r="41" spans="1:14" ht="23" customHeight="1">
      <c r="A41" s="1"/>
      <c r="B41" s="1"/>
      <c r="C41" s="1"/>
      <c r="D41" s="1"/>
      <c r="E41" s="1"/>
      <c r="F41" s="1"/>
      <c r="G41" s="1"/>
      <c r="H41" s="1" t="str">
        <f>IF($N$3,TEXT(DATE(Dashboard!$D$5,4,1),"mmm"),"")</f>
        <v>Apr</v>
      </c>
      <c r="I41" s="4">
        <f>IF($N$3,SUMIFS(Data!$G$9:$G$584,Data!$A$9:$A$584,"&gt;="&amp;DATE(Dashboard!$D$5,4,1),Data!$A$9:$A$584,"&lt;"&amp;EDATE(DATE(Dashboard!$D$5,4,1),1),Data!$B$9:$B$584,IF($J$3="All","*",$J$3),Data!$D$9:$D$584,IF($L$3="All","*",$L$3))-SUMIFS(Data!$H$9:$H$584,Data!$A$9:$A$584,"&gt;="&amp;DATE(Dashboard!$D$5,4,1),Data!$A$9:$A$584,"&lt;"&amp;EDATE(DATE(Dashboard!$D$5,4,1),1),Data!$B$9:$B$584,IF($J$3="All","*",$J$3),Data!$D$9:$D$584,IF($L$3="All","*",$L$3)),"")</f>
        <v>618951.18000000005</v>
      </c>
      <c r="J41" s="4">
        <f>IF($N$3,SUMIFS(Data!$J$9:$J$584,Data!$A$9:$A$584,"&gt;="&amp;DATE(Dashboard!$D$5,4,1),Data!$A$9:$A$584,"&lt;"&amp;EDATE(DATE(Dashboard!$D$5,4,1),1),Data!$B$9:$B$584,IF($J$3="All","*",$J$3),Data!$D$9:$D$584,IF($L$3="All","*",$L$3)),"")</f>
        <v>629001.28</v>
      </c>
      <c r="K41" s="1"/>
      <c r="L41" s="1"/>
      <c r="M41" s="1"/>
      <c r="N41" s="1"/>
    </row>
    <row r="42" spans="1:14" ht="23" customHeight="1">
      <c r="A42" s="1"/>
      <c r="B42" s="1"/>
      <c r="C42" s="1"/>
      <c r="D42" s="1"/>
      <c r="E42" s="1"/>
      <c r="F42" s="1"/>
      <c r="G42" s="1"/>
      <c r="H42" s="1" t="str">
        <f>IF($N$3,TEXT(DATE(Dashboard!$D$5,5,1),"mmm"),"")</f>
        <v>May</v>
      </c>
      <c r="I42" s="4">
        <f>IF($N$3,SUMIFS(Data!$G$9:$G$584,Data!$A$9:$A$584,"&gt;="&amp;DATE(Dashboard!$D$5,5,1),Data!$A$9:$A$584,"&lt;"&amp;EDATE(DATE(Dashboard!$D$5,5,1),1),Data!$B$9:$B$584,IF($J$3="All","*",$J$3),Data!$D$9:$D$584,IF($L$3="All","*",$L$3))-SUMIFS(Data!$H$9:$H$584,Data!$A$9:$A$584,"&gt;="&amp;DATE(Dashboard!$D$5,5,1),Data!$A$9:$A$584,"&lt;"&amp;EDATE(DATE(Dashboard!$D$5,5,1),1),Data!$B$9:$B$584,IF($J$3="All","*",$J$3),Data!$D$9:$D$584,IF($L$3="All","*",$L$3)),"")</f>
        <v>668236.2699999999</v>
      </c>
      <c r="J42" s="4">
        <f>IF($N$3,SUMIFS(Data!$J$9:$J$584,Data!$A$9:$A$584,"&gt;="&amp;DATE(Dashboard!$D$5,5,1),Data!$A$9:$A$584,"&lt;"&amp;EDATE(DATE(Dashboard!$D$5,5,1),1),Data!$B$9:$B$584,IF($J$3="All","*",$J$3),Data!$D$9:$D$584,IF($L$3="All","*",$L$3)),"")</f>
        <v>678089.49</v>
      </c>
      <c r="K42" s="1"/>
      <c r="L42" s="1"/>
      <c r="M42" s="1"/>
      <c r="N42" s="1"/>
    </row>
    <row r="43" spans="1:14" ht="28.05" customHeight="1">
      <c r="A43" s="1"/>
      <c r="B43" s="5" t="s">
        <v>5</v>
      </c>
      <c r="C43" s="5" t="s">
        <v>8</v>
      </c>
      <c r="D43" s="1"/>
      <c r="E43" s="1"/>
      <c r="F43" s="1"/>
      <c r="G43" s="1"/>
      <c r="H43" s="1" t="str">
        <f>IF($N$3,TEXT(DATE(Dashboard!$D$5,6,1),"mmm"),"")</f>
        <v>Jun</v>
      </c>
      <c r="I43" s="4">
        <f>IF($N$3,SUMIFS(Data!$G$9:$G$584,Data!$A$9:$A$584,"&gt;="&amp;DATE(Dashboard!$D$5,6,1),Data!$A$9:$A$584,"&lt;"&amp;EDATE(DATE(Dashboard!$D$5,6,1),1),Data!$B$9:$B$584,IF($J$3="All","*",$J$3),Data!$D$9:$D$584,IF($L$3="All","*",$L$3))-SUMIFS(Data!$H$9:$H$584,Data!$A$9:$A$584,"&gt;="&amp;DATE(Dashboard!$D$5,6,1),Data!$A$9:$A$584,"&lt;"&amp;EDATE(DATE(Dashboard!$D$5,6,1),1),Data!$B$9:$B$584,IF($J$3="All","*",$J$3),Data!$D$9:$D$584,IF($L$3="All","*",$L$3)),"")</f>
        <v>695956.58</v>
      </c>
      <c r="J43" s="4">
        <f>IF($N$3,SUMIFS(Data!$J$9:$J$584,Data!$A$9:$A$584,"&gt;="&amp;DATE(Dashboard!$D$5,6,1),Data!$A$9:$A$584,"&lt;"&amp;EDATE(DATE(Dashboard!$D$5,6,1),1),Data!$B$9:$B$584,IF($J$3="All","*",$J$3),Data!$D$9:$D$584,IF($L$3="All","*",$L$3)),"")</f>
        <v>700310.21</v>
      </c>
      <c r="K43" s="1"/>
      <c r="L43" s="1"/>
      <c r="M43" s="1"/>
      <c r="N43" s="1"/>
    </row>
    <row r="44" spans="1:14" ht="23" customHeight="1">
      <c r="A44" s="1"/>
      <c r="B44" s="1" t="str">
        <f>INDEX($B$31:$B$34,MATCH(1,$M$31:$M$34,0))</f>
        <v>West</v>
      </c>
      <c r="C44" s="4">
        <f>INDEX($C$31:$C$34,MATCH(1,$M$31:$M$34,0))</f>
        <v>2360569.56</v>
      </c>
      <c r="D44" s="1"/>
      <c r="E44" s="1"/>
      <c r="F44" s="1"/>
      <c r="G44" s="1"/>
      <c r="H44" s="1" t="str">
        <f>IF($N$3,TEXT(DATE(Dashboard!$D$5,7,1),"mmm"),"")</f>
        <v>Jul</v>
      </c>
      <c r="I44" s="4">
        <f>IF($N$3,SUMIFS(Data!$G$9:$G$584,Data!$A$9:$A$584,"&gt;="&amp;DATE(Dashboard!$D$5,7,1),Data!$A$9:$A$584,"&lt;"&amp;EDATE(DATE(Dashboard!$D$5,7,1),1),Data!$B$9:$B$584,IF($J$3="All","*",$J$3),Data!$D$9:$D$584,IF($L$3="All","*",$L$3))-SUMIFS(Data!$H$9:$H$584,Data!$A$9:$A$584,"&gt;="&amp;DATE(Dashboard!$D$5,7,1),Data!$A$9:$A$584,"&lt;"&amp;EDATE(DATE(Dashboard!$D$5,7,1),1),Data!$B$9:$B$584,IF($J$3="All","*",$J$3),Data!$D$9:$D$584,IF($L$3="All","*",$L$3)),"")</f>
        <v>631374.79000000015</v>
      </c>
      <c r="J44" s="4">
        <f>IF($N$3,SUMIFS(Data!$J$9:$J$584,Data!$A$9:$A$584,"&gt;="&amp;DATE(Dashboard!$D$5,7,1),Data!$A$9:$A$584,"&lt;"&amp;EDATE(DATE(Dashboard!$D$5,7,1),1),Data!$B$9:$B$584,IF($J$3="All","*",$J$3),Data!$D$9:$D$584,IF($L$3="All","*",$L$3)),"")</f>
        <v>635021.72000000009</v>
      </c>
      <c r="K44" s="1"/>
      <c r="L44" s="1"/>
      <c r="M44" s="1"/>
      <c r="N44" s="1"/>
    </row>
    <row r="45" spans="1:14" ht="23" customHeight="1">
      <c r="A45" s="1"/>
      <c r="B45" s="1" t="str">
        <f>INDEX($B$31:$B$34,MATCH(2,$M$31:$M$34,0))</f>
        <v>South</v>
      </c>
      <c r="C45" s="4">
        <f>INDEX($C$31:$C$34,MATCH(2,$M$31:$M$34,0))</f>
        <v>2190964.4899999998</v>
      </c>
      <c r="D45" s="1"/>
      <c r="E45" s="1"/>
      <c r="F45" s="1"/>
      <c r="G45" s="1"/>
      <c r="H45" s="1" t="str">
        <f>IF($N$3,TEXT(DATE(Dashboard!$D$5,8,1),"mmm"),"")</f>
        <v>Aug</v>
      </c>
      <c r="I45" s="4">
        <f>IF($N$3,SUMIFS(Data!$G$9:$G$584,Data!$A$9:$A$584,"&gt;="&amp;DATE(Dashboard!$D$5,8,1),Data!$A$9:$A$584,"&lt;"&amp;EDATE(DATE(Dashboard!$D$5,8,1),1),Data!$B$9:$B$584,IF($J$3="All","*",$J$3),Data!$D$9:$D$584,IF($L$3="All","*",$L$3))-SUMIFS(Data!$H$9:$H$584,Data!$A$9:$A$584,"&gt;="&amp;DATE(Dashboard!$D$5,8,1),Data!$A$9:$A$584,"&lt;"&amp;EDATE(DATE(Dashboard!$D$5,8,1),1),Data!$B$9:$B$584,IF($J$3="All","*",$J$3),Data!$D$9:$D$584,IF($L$3="All","*",$L$3)),"")</f>
        <v>669964.23999999987</v>
      </c>
      <c r="J45" s="4">
        <f>IF($N$3,SUMIFS(Data!$J$9:$J$584,Data!$A$9:$A$584,"&gt;="&amp;DATE(Dashboard!$D$5,8,1),Data!$A$9:$A$584,"&lt;"&amp;EDATE(DATE(Dashboard!$D$5,8,1),1),Data!$B$9:$B$584,IF($J$3="All","*",$J$3),Data!$D$9:$D$584,IF($L$3="All","*",$L$3)),"")</f>
        <v>682827.79</v>
      </c>
      <c r="K45" s="1"/>
      <c r="L45" s="1"/>
      <c r="M45" s="1"/>
      <c r="N45" s="1"/>
    </row>
    <row r="46" spans="1:14" ht="23" customHeight="1">
      <c r="A46" s="1"/>
      <c r="B46" s="1" t="str">
        <f>INDEX($B$31:$B$34,MATCH(3,$M$31:$M$34,0))</f>
        <v>North</v>
      </c>
      <c r="C46" s="4">
        <f>INDEX($C$31:$C$34,MATCH(3,$M$31:$M$34,0))</f>
        <v>1932423.5200000005</v>
      </c>
      <c r="D46" s="1"/>
      <c r="E46" s="1"/>
      <c r="F46" s="1"/>
      <c r="G46" s="1"/>
      <c r="H46" s="1" t="str">
        <f>IF($N$3,TEXT(DATE(Dashboard!$D$5,9,1),"mmm"),"")</f>
        <v>Sep</v>
      </c>
      <c r="I46" s="4">
        <f>IF($N$3,SUMIFS(Data!$G$9:$G$584,Data!$A$9:$A$584,"&gt;="&amp;DATE(Dashboard!$D$5,9,1),Data!$A$9:$A$584,"&lt;"&amp;EDATE(DATE(Dashboard!$D$5,9,1),1),Data!$B$9:$B$584,IF($J$3="All","*",$J$3),Data!$D$9:$D$584,IF($L$3="All","*",$L$3))-SUMIFS(Data!$H$9:$H$584,Data!$A$9:$A$584,"&gt;="&amp;DATE(Dashboard!$D$5,9,1),Data!$A$9:$A$584,"&lt;"&amp;EDATE(DATE(Dashboard!$D$5,9,1),1),Data!$B$9:$B$584,IF($J$3="All","*",$J$3),Data!$D$9:$D$584,IF($L$3="All","*",$L$3)),"")</f>
        <v>742388.01</v>
      </c>
      <c r="J46" s="4">
        <f>IF($N$3,SUMIFS(Data!$J$9:$J$584,Data!$A$9:$A$584,"&gt;="&amp;DATE(Dashboard!$D$5,9,1),Data!$A$9:$A$584,"&lt;"&amp;EDATE(DATE(Dashboard!$D$5,9,1),1),Data!$B$9:$B$584,IF($J$3="All","*",$J$3),Data!$D$9:$D$584,IF($L$3="All","*",$L$3)),"")</f>
        <v>743034.08</v>
      </c>
      <c r="K46" s="1"/>
      <c r="L46" s="1"/>
      <c r="M46" s="1"/>
      <c r="N46" s="1"/>
    </row>
    <row r="47" spans="1:14" ht="23" customHeight="1">
      <c r="A47" s="1"/>
      <c r="B47" s="1" t="str">
        <f>INDEX($B$31:$B$34,MATCH(4,$M$31:$M$34,0))</f>
        <v>East</v>
      </c>
      <c r="C47" s="4">
        <f>INDEX($C$31:$C$34,MATCH(4,$M$31:$M$34,0))</f>
        <v>1758474.7400000002</v>
      </c>
      <c r="D47" s="1"/>
      <c r="E47" s="1"/>
      <c r="F47" s="1"/>
      <c r="G47" s="1"/>
      <c r="H47" s="1" t="str">
        <f>IF($N$3,TEXT(DATE(Dashboard!$D$5,10,1),"mmm"),"")</f>
        <v>Oct</v>
      </c>
      <c r="I47" s="4">
        <f>IF($N$3,SUMIFS(Data!$G$9:$G$584,Data!$A$9:$A$584,"&gt;="&amp;DATE(Dashboard!$D$5,10,1),Data!$A$9:$A$584,"&lt;"&amp;EDATE(DATE(Dashboard!$D$5,10,1),1),Data!$B$9:$B$584,IF($J$3="All","*",$J$3),Data!$D$9:$D$584,IF($L$3="All","*",$L$3))-SUMIFS(Data!$H$9:$H$584,Data!$A$9:$A$584,"&gt;="&amp;DATE(Dashboard!$D$5,10,1),Data!$A$9:$A$584,"&lt;"&amp;EDATE(DATE(Dashboard!$D$5,10,1),1),Data!$B$9:$B$584,IF($J$3="All","*",$J$3),Data!$D$9:$D$584,IF($L$3="All","*",$L$3)),"")</f>
        <v>700346.55</v>
      </c>
      <c r="J47" s="4">
        <f>IF($N$3,SUMIFS(Data!$J$9:$J$584,Data!$A$9:$A$584,"&gt;="&amp;DATE(Dashboard!$D$5,10,1),Data!$A$9:$A$584,"&lt;"&amp;EDATE(DATE(Dashboard!$D$5,10,1),1),Data!$B$9:$B$584,IF($J$3="All","*",$J$3),Data!$D$9:$D$584,IF($L$3="All","*",$L$3)),"")</f>
        <v>749847.47000000009</v>
      </c>
      <c r="K47" s="1"/>
      <c r="L47" s="1"/>
      <c r="M47" s="1"/>
      <c r="N47" s="1"/>
    </row>
    <row r="48" spans="1:14" ht="23" customHeight="1">
      <c r="A48" s="1"/>
      <c r="B48" s="1"/>
      <c r="C48" s="1"/>
      <c r="D48" s="1"/>
      <c r="E48" s="1"/>
      <c r="F48" s="1"/>
      <c r="G48" s="1"/>
      <c r="H48" s="1" t="str">
        <f>IF($N$3,TEXT(DATE(Dashboard!$D$5,11,1),"mmm"),"")</f>
        <v>Nov</v>
      </c>
      <c r="I48" s="4">
        <f>IF($N$3,SUMIFS(Data!$G$9:$G$584,Data!$A$9:$A$584,"&gt;="&amp;DATE(Dashboard!$D$5,11,1),Data!$A$9:$A$584,"&lt;"&amp;EDATE(DATE(Dashboard!$D$5,11,1),1),Data!$B$9:$B$584,IF($J$3="All","*",$J$3),Data!$D$9:$D$584,IF($L$3="All","*",$L$3))-SUMIFS(Data!$H$9:$H$584,Data!$A$9:$A$584,"&gt;="&amp;DATE(Dashboard!$D$5,11,1),Data!$A$9:$A$584,"&lt;"&amp;EDATE(DATE(Dashboard!$D$5,11,1),1),Data!$B$9:$B$584,IF($J$3="All","*",$J$3),Data!$D$9:$D$584,IF($L$3="All","*",$L$3)),"")</f>
        <v>852337.9800000001</v>
      </c>
      <c r="J48" s="4">
        <f>IF($N$3,SUMIFS(Data!$J$9:$J$584,Data!$A$9:$A$584,"&gt;="&amp;DATE(Dashboard!$D$5,11,1),Data!$A$9:$A$584,"&lt;"&amp;EDATE(DATE(Dashboard!$D$5,11,1),1),Data!$B$9:$B$584,IF($J$3="All","*",$J$3),Data!$D$9:$D$584,IF($L$3="All","*",$L$3)),"")</f>
        <v>887559.59999999986</v>
      </c>
      <c r="K48" s="1"/>
      <c r="L48" s="1"/>
      <c r="M48" s="1"/>
      <c r="N48" s="1"/>
    </row>
    <row r="49" spans="1:14" ht="23" customHeight="1">
      <c r="A49" s="1"/>
      <c r="B49" s="1"/>
      <c r="C49" s="1"/>
      <c r="D49" s="1"/>
      <c r="E49" s="1"/>
      <c r="F49" s="1"/>
      <c r="G49" s="1"/>
      <c r="H49" s="1" t="str">
        <f>IF($N$3,TEXT(DATE(Dashboard!$D$5,12,1),"mmm"),"")</f>
        <v>Dec</v>
      </c>
      <c r="I49" s="4">
        <f>IF($N$3,SUMIFS(Data!$G$9:$G$584,Data!$A$9:$A$584,"&gt;="&amp;DATE(Dashboard!$D$5,12,1),Data!$A$9:$A$584,"&lt;"&amp;EDATE(DATE(Dashboard!$D$5,12,1),1),Data!$B$9:$B$584,IF($J$3="All","*",$J$3),Data!$D$9:$D$584,IF($L$3="All","*",$L$3))-SUMIFS(Data!$H$9:$H$584,Data!$A$9:$A$584,"&gt;="&amp;DATE(Dashboard!$D$5,12,1),Data!$A$9:$A$584,"&lt;"&amp;EDATE(DATE(Dashboard!$D$5,12,1),1),Data!$B$9:$B$584,IF($J$3="All","*",$J$3),Data!$D$9:$D$584,IF($L$3="All","*",$L$3)),"")</f>
        <v>905905.97</v>
      </c>
      <c r="J49" s="4">
        <f>IF($N$3,SUMIFS(Data!$J$9:$J$584,Data!$A$9:$A$584,"&gt;="&amp;DATE(Dashboard!$D$5,12,1),Data!$A$9:$A$584,"&lt;"&amp;EDATE(DATE(Dashboard!$D$5,12,1),1),Data!$B$9:$B$584,IF($J$3="All","*",$J$3),Data!$D$9:$D$584,IF($L$3="All","*",$L$3)),"")</f>
        <v>947677.05</v>
      </c>
      <c r="K49" s="1"/>
      <c r="L49" s="1"/>
      <c r="M49" s="1"/>
      <c r="N49" s="1"/>
    </row>
    <row r="50" spans="1:14" ht="28.05" customHeight="1">
      <c r="A50" s="1"/>
      <c r="B50" s="5" t="s">
        <v>43</v>
      </c>
      <c r="C50" s="5" t="s">
        <v>44</v>
      </c>
      <c r="D50" s="5" t="s">
        <v>45</v>
      </c>
      <c r="E50" s="5" t="s">
        <v>46</v>
      </c>
      <c r="F50" s="1"/>
      <c r="G50" s="1"/>
      <c r="H50" s="1"/>
      <c r="I50" s="1"/>
      <c r="J50" s="1"/>
      <c r="K50" s="1"/>
      <c r="L50" s="1"/>
      <c r="M50" s="1"/>
      <c r="N50" s="1"/>
    </row>
    <row r="51" spans="1:14" ht="23" customHeight="1">
      <c r="A51" s="1"/>
      <c r="B51" s="1" t="s">
        <v>47</v>
      </c>
      <c r="C51" s="12">
        <f>SUM(C26:C28)-C21</f>
        <v>0</v>
      </c>
      <c r="D51" s="12">
        <f>SUM(E26:E28)-E21</f>
        <v>0</v>
      </c>
      <c r="E51" s="1">
        <f>COUNTIFS(Data!$A$9:$A$584,"&gt;="&amp;$D$3,Data!$A$9:$A$584,"&lt;"&amp;$G$3,Data!$B$9:$B$584,IF($J$3="All","*",$J$3),Data!$D$9:$D$584,IF($L$3="All","*",$L$3))</f>
        <v>288</v>
      </c>
      <c r="F51" s="1"/>
      <c r="G51" s="1"/>
      <c r="H51" s="1"/>
      <c r="I51" s="1"/>
      <c r="J51" s="1"/>
      <c r="K51" s="1"/>
      <c r="L51" s="1"/>
      <c r="M51" s="1"/>
      <c r="N51" s="1"/>
    </row>
    <row r="52" spans="1:14" ht="23" customHeight="1">
      <c r="A52" s="1"/>
      <c r="B52" s="1" t="s">
        <v>48</v>
      </c>
      <c r="C52" s="12">
        <f>SUM(C31:C34)-C21</f>
        <v>0</v>
      </c>
      <c r="D52" s="12">
        <f>SUM(E31:E34)-E21</f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23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23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23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21" customHeight="1">
      <c r="B56" s="89" t="s">
        <v>64</v>
      </c>
      <c r="C56" s="89"/>
      <c r="D56" s="89"/>
      <c r="E56" s="89"/>
      <c r="F56" s="89"/>
      <c r="G56" s="89"/>
      <c r="H56" s="89"/>
      <c r="I56" s="89"/>
      <c r="J56" s="89"/>
      <c r="K56" s="89"/>
      <c r="L56" s="89"/>
    </row>
    <row r="58" spans="1:14" ht="18" customHeight="1">
      <c r="B58" s="90" t="s">
        <v>65</v>
      </c>
      <c r="C58" s="90"/>
      <c r="D58" s="90"/>
      <c r="E58" s="41">
        <f>IF(AND($N$3,ISNUMBER($I$21)),SUMIFS(Data!$E$9:$E$584,Data!$A$9:$A$584,"&gt;="&amp;EDATE($D$3,-12),Data!$A$9:$A$584,"&lt;"&amp;EDATE($G$3,-12),Data!$B$9:$B$584,IF($J$3="All","*",$J$3),Data!$D$9:$D$584,IF($L$3="All","*",$L$3)),"n.a.")</f>
        <v>23077</v>
      </c>
      <c r="G58" s="91" t="s">
        <v>66</v>
      </c>
      <c r="H58" s="91"/>
      <c r="I58" s="91"/>
      <c r="J58" s="91"/>
      <c r="K58" s="91"/>
      <c r="L58" s="91"/>
    </row>
    <row r="59" spans="1:14" ht="18" customHeight="1">
      <c r="B59" s="90" t="s">
        <v>67</v>
      </c>
      <c r="C59" s="90"/>
      <c r="D59" s="90"/>
      <c r="E59" s="42">
        <f>IF(AND($N$3,ISNUMBER($I$21)),SUMIFS(Data!$I$9:$I$584,Data!$A$9:$A$584,"&gt;="&amp;EDATE($D$3,-12),Data!$A$9:$A$584,"&lt;"&amp;EDATE($G$3,-12),Data!$B$9:$B$584,IF($J$3="All","*",$J$3),Data!$D$9:$D$584,IF($L$3="All","*",$L$3)),"n.a.")</f>
        <v>4928825.9000000013</v>
      </c>
    </row>
    <row r="60" spans="1:14" ht="18" customHeight="1">
      <c r="B60" s="90" t="s">
        <v>68</v>
      </c>
      <c r="C60" s="90"/>
      <c r="D60" s="90"/>
      <c r="E60" s="42">
        <f>IF(AND($N$3,ISNUMBER($I$21)),I21-E59,"n.a.")</f>
        <v>2386487.6499999994</v>
      </c>
      <c r="G60" s="92" t="s">
        <v>69</v>
      </c>
      <c r="H60" s="92"/>
      <c r="I60" s="92"/>
      <c r="J60" s="92"/>
      <c r="K60" s="92"/>
      <c r="L60" s="92"/>
    </row>
    <row r="61" spans="1:14" ht="18" customHeight="1">
      <c r="B61" s="90" t="s">
        <v>70</v>
      </c>
      <c r="C61" s="90"/>
      <c r="D61" s="90"/>
      <c r="E61" s="43">
        <f>IF(AND($N$3,ISNUMBER($I$21)),IF(I21=0,"n.a.",E60/I21),"n.a.")</f>
        <v>0.32623176487083033</v>
      </c>
      <c r="G61" s="92" t="s">
        <v>71</v>
      </c>
      <c r="H61" s="92"/>
      <c r="I61" s="92"/>
      <c r="J61" s="92"/>
      <c r="K61" s="92"/>
      <c r="L61" s="92"/>
    </row>
    <row r="62" spans="1:14" ht="18" customHeight="1">
      <c r="B62" s="90" t="s">
        <v>72</v>
      </c>
      <c r="C62" s="90"/>
      <c r="D62" s="90"/>
      <c r="E62" s="44">
        <f>IF(AND($N$3,ISNUMBER($I$21)),IF(E58=0,"n.a.",I21/E58),"n.a.")</f>
        <v>316.99586384712052</v>
      </c>
    </row>
    <row r="63" spans="1:14" ht="18" customHeight="1">
      <c r="B63" s="90" t="s">
        <v>73</v>
      </c>
      <c r="C63" s="90"/>
      <c r="D63" s="90"/>
      <c r="E63" s="45">
        <f>IF(AND($N$3,ISNUMBER($I$21)),IF(E58=0,"n.a.",K21/E58-1),"n.a.")</f>
        <v>0.10703297655674482</v>
      </c>
      <c r="G63" s="92" t="s">
        <v>74</v>
      </c>
      <c r="H63" s="92"/>
      <c r="I63" s="92"/>
      <c r="J63" s="92"/>
      <c r="K63" s="92"/>
      <c r="L63" s="92"/>
    </row>
    <row r="64" spans="1:14" ht="18" customHeight="1">
      <c r="B64" s="90" t="s">
        <v>75</v>
      </c>
      <c r="C64" s="90"/>
      <c r="D64" s="90"/>
      <c r="E64" s="45">
        <f>IF(AND($N$3,ISNUMBER($I$21)),IF(E62=0,"n.a.",L21/E62-1),"n.a.")</f>
        <v>1.7798685520287849E-2</v>
      </c>
      <c r="G64" s="92" t="s">
        <v>76</v>
      </c>
      <c r="H64" s="92"/>
      <c r="I64" s="92"/>
      <c r="J64" s="92"/>
      <c r="K64" s="92"/>
      <c r="L64" s="92"/>
    </row>
    <row r="65" spans="2:12" ht="18" customHeight="1">
      <c r="B65" s="90" t="s">
        <v>77</v>
      </c>
      <c r="C65" s="90"/>
      <c r="D65" s="90"/>
      <c r="E65" s="45">
        <f>IF(AND($N$3,ISNUMBER($I$21)),IF(E60=0,"n.a.",E21/E60-1),"n.a.")</f>
        <v>7.8508908269439681E-2</v>
      </c>
    </row>
    <row r="66" spans="2:12" ht="18" customHeight="1">
      <c r="B66" s="90" t="s">
        <v>78</v>
      </c>
      <c r="C66" s="90"/>
      <c r="D66" s="90"/>
      <c r="E66" s="46">
        <f>IF(AND($N$3,ISNUMBER($I$21)),E21-E60,"n.a.")</f>
        <v>187360.5400000005</v>
      </c>
      <c r="G66" s="92" t="s">
        <v>79</v>
      </c>
      <c r="H66" s="92"/>
      <c r="I66" s="92"/>
      <c r="J66" s="92"/>
      <c r="K66" s="92"/>
      <c r="L66" s="92"/>
    </row>
    <row r="67" spans="2:12" ht="18" customHeight="1">
      <c r="B67" s="90" t="s">
        <v>80</v>
      </c>
      <c r="C67" s="90"/>
      <c r="D67" s="90"/>
      <c r="E67" s="47">
        <f>IF(AND($N$3,ISNUMBER($I$21)),(F21-E61)*100,"n.a.")</f>
        <v>-1.3963723933773542</v>
      </c>
      <c r="G67" s="92" t="s">
        <v>81</v>
      </c>
      <c r="H67" s="92"/>
      <c r="I67" s="92"/>
      <c r="J67" s="92"/>
      <c r="K67" s="92"/>
      <c r="L67" s="92"/>
    </row>
    <row r="68" spans="2:12" ht="18" customHeight="1">
      <c r="B68" s="90" t="s">
        <v>82</v>
      </c>
      <c r="C68" s="90"/>
      <c r="D68" s="90"/>
      <c r="E68" s="46">
        <f>IF(AND($N$3,ISNUMBER($I$21)),C21-I21,"n.a.")</f>
        <v>927118.75999999978</v>
      </c>
    </row>
    <row r="69" spans="2:12" ht="18" customHeight="1">
      <c r="B69" s="90" t="s">
        <v>83</v>
      </c>
      <c r="C69" s="90"/>
      <c r="D69" s="90"/>
      <c r="E69" s="46">
        <f>IF(AND($N$3,ISNUMBER($I$21)),(K21-E58)*E62,"n.a.")</f>
        <v>782979.78370238771</v>
      </c>
      <c r="G69" s="92" t="s">
        <v>84</v>
      </c>
      <c r="H69" s="92"/>
      <c r="I69" s="92"/>
      <c r="J69" s="92"/>
      <c r="K69" s="92"/>
      <c r="L69" s="92"/>
    </row>
    <row r="70" spans="2:12" ht="18" customHeight="1">
      <c r="B70" s="90" t="s">
        <v>85</v>
      </c>
      <c r="C70" s="90"/>
      <c r="D70" s="90"/>
      <c r="E70" s="46">
        <f>IF(AND($N$3,ISNUMBER($I$21)),K21*(L21-E62),"n.a.")</f>
        <v>144138.97629761233</v>
      </c>
      <c r="G70" s="92" t="s">
        <v>86</v>
      </c>
      <c r="H70" s="92"/>
      <c r="I70" s="92"/>
      <c r="J70" s="92"/>
      <c r="K70" s="92"/>
      <c r="L70" s="92"/>
    </row>
    <row r="71" spans="2:12" ht="18" customHeight="1">
      <c r="B71" s="90" t="s">
        <v>87</v>
      </c>
      <c r="C71" s="90"/>
      <c r="D71" s="90"/>
      <c r="E71" s="46">
        <f>IF(AND($N$3,ISNUMBER($I$21)),(C21-I21)*E61,"n.a.")</f>
        <v>302455.58931965573</v>
      </c>
    </row>
    <row r="72" spans="2:12" ht="18" customHeight="1">
      <c r="B72" s="90" t="s">
        <v>88</v>
      </c>
      <c r="C72" s="90"/>
      <c r="D72" s="90"/>
      <c r="E72" s="46">
        <f>IF(AND($N$3,ISNUMBER($I$21)),C21*(F21-E61),"n.a.")</f>
        <v>-115095.04931965534</v>
      </c>
    </row>
    <row r="73" spans="2:12" ht="13.9">
      <c r="G73" s="51" t="s">
        <v>89</v>
      </c>
      <c r="H73" s="51" t="s">
        <v>90</v>
      </c>
    </row>
    <row r="74" spans="2:12">
      <c r="G74" s="48" t="s">
        <v>91</v>
      </c>
      <c r="H74" s="49">
        <f>IF(ISNUMBER(E71),E71,NA())</f>
        <v>302455.58931965573</v>
      </c>
    </row>
    <row r="75" spans="2:12">
      <c r="G75" s="48" t="s">
        <v>92</v>
      </c>
      <c r="H75" s="49">
        <f>IF(ISNUMBER(E72),E72,NA())</f>
        <v>-115095.04931965534</v>
      </c>
    </row>
    <row r="76" spans="2:12">
      <c r="G76" s="48"/>
      <c r="H76" s="48"/>
    </row>
    <row r="77" spans="2:12">
      <c r="G77" s="48"/>
      <c r="H77" s="48"/>
    </row>
    <row r="78" spans="2:12" ht="13.9">
      <c r="G78" s="51" t="s">
        <v>93</v>
      </c>
      <c r="H78" s="51" t="s">
        <v>94</v>
      </c>
    </row>
    <row r="79" spans="2:12">
      <c r="G79" s="48" t="s">
        <v>95</v>
      </c>
      <c r="H79" s="50">
        <f>IF(ISNUMBER(E68),SUM(E69:E70)-E68,"n.a.")</f>
        <v>2.3283064365386963E-10</v>
      </c>
    </row>
    <row r="80" spans="2:12">
      <c r="G80" s="48" t="s">
        <v>96</v>
      </c>
      <c r="H80" s="50">
        <f>IF(ISNUMBER(E66),SUM(E71:E72)-E66,"n.a.")</f>
        <v>-1.1641532182693481E-10</v>
      </c>
    </row>
  </sheetData>
  <mergeCells count="28">
    <mergeCell ref="B69:D69"/>
    <mergeCell ref="B70:D70"/>
    <mergeCell ref="B71:D71"/>
    <mergeCell ref="B72:D72"/>
    <mergeCell ref="G58:L58"/>
    <mergeCell ref="G60:L60"/>
    <mergeCell ref="G61:L61"/>
    <mergeCell ref="G63:L63"/>
    <mergeCell ref="G64:L64"/>
    <mergeCell ref="G66:L66"/>
    <mergeCell ref="G67:L67"/>
    <mergeCell ref="G69:L69"/>
    <mergeCell ref="G70:L70"/>
    <mergeCell ref="B64:D64"/>
    <mergeCell ref="B65:D65"/>
    <mergeCell ref="B66:D66"/>
    <mergeCell ref="B67:D67"/>
    <mergeCell ref="B68:D68"/>
    <mergeCell ref="B59:D59"/>
    <mergeCell ref="B60:D60"/>
    <mergeCell ref="B61:D61"/>
    <mergeCell ref="B62:D62"/>
    <mergeCell ref="B63:D63"/>
    <mergeCell ref="B2:L2"/>
    <mergeCell ref="B3:C3"/>
    <mergeCell ref="B4:L4"/>
    <mergeCell ref="B56:L56"/>
    <mergeCell ref="B58:D58"/>
  </mergeCells>
  <conditionalFormatting sqref="C51:D52">
    <cfRule type="expression" dxfId="6" priority="7">
      <formula>ABS(C51)&gt;0.01</formula>
    </cfRule>
  </conditionalFormatting>
  <conditionalFormatting sqref="H8:H21">
    <cfRule type="cellIs" dxfId="5" priority="1" operator="lessThan">
      <formula>0</formula>
    </cfRule>
    <cfRule type="cellIs" dxfId="4" priority="2" operator="greaterThan">
      <formula>0</formula>
    </cfRule>
  </conditionalFormatting>
  <conditionalFormatting sqref="H26:H28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31:H34">
    <cfRule type="cellIs" dxfId="1" priority="5" operator="lessThan">
      <formula>0</formula>
    </cfRule>
    <cfRule type="cellIs" dxfId="0" priority="6" operator="greater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8778A"/>
  </sheetPr>
  <dimension ref="A1:J584"/>
  <sheetViews>
    <sheetView showGridLines="0" zoomScale="90" zoomScaleNormal="90" workbookViewId="0">
      <pane ySplit="8" topLeftCell="A9" activePane="bottomLeft" state="frozen"/>
      <selection pane="bottomLeft"/>
    </sheetView>
  </sheetViews>
  <sheetFormatPr defaultRowHeight="13.5"/>
  <cols>
    <col min="1" max="1" width="14" customWidth="1"/>
    <col min="2" max="4" width="16" customWidth="1"/>
    <col min="5" max="6" width="12" customWidth="1"/>
    <col min="7" max="10" width="19" customWidth="1"/>
  </cols>
  <sheetData>
    <row r="1" spans="1:10" ht="10.05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1" customHeight="1">
      <c r="A2" s="87" t="s">
        <v>49</v>
      </c>
      <c r="B2" s="87" t="s">
        <v>49</v>
      </c>
      <c r="C2" s="87" t="s">
        <v>49</v>
      </c>
      <c r="D2" s="87" t="s">
        <v>49</v>
      </c>
      <c r="E2" s="87" t="s">
        <v>49</v>
      </c>
      <c r="F2" s="87" t="s">
        <v>49</v>
      </c>
      <c r="G2" s="87" t="s">
        <v>49</v>
      </c>
      <c r="H2" s="87" t="s">
        <v>49</v>
      </c>
      <c r="I2" s="87" t="s">
        <v>49</v>
      </c>
      <c r="J2" s="87" t="s">
        <v>49</v>
      </c>
    </row>
    <row r="3" spans="1:10" ht="21" customHeight="1">
      <c r="A3" s="88" t="s">
        <v>50</v>
      </c>
      <c r="B3" s="88" t="s">
        <v>50</v>
      </c>
      <c r="C3" s="88" t="s">
        <v>50</v>
      </c>
      <c r="D3" s="88" t="s">
        <v>50</v>
      </c>
      <c r="E3" s="88" t="s">
        <v>50</v>
      </c>
      <c r="F3" s="88" t="s">
        <v>50</v>
      </c>
      <c r="G3" s="88" t="s">
        <v>50</v>
      </c>
      <c r="H3" s="88" t="s">
        <v>50</v>
      </c>
      <c r="I3" s="88" t="s">
        <v>50</v>
      </c>
      <c r="J3" s="88" t="s">
        <v>50</v>
      </c>
    </row>
    <row r="4" spans="1:10" ht="21" customHeight="1">
      <c r="A4" s="88" t="s">
        <v>51</v>
      </c>
      <c r="B4" s="88" t="s">
        <v>51</v>
      </c>
      <c r="C4" s="88" t="s">
        <v>51</v>
      </c>
      <c r="D4" s="88" t="s">
        <v>51</v>
      </c>
      <c r="E4" s="88" t="s">
        <v>51</v>
      </c>
      <c r="F4" s="88" t="s">
        <v>51</v>
      </c>
      <c r="G4" s="88" t="s">
        <v>51</v>
      </c>
      <c r="H4" s="88" t="s">
        <v>51</v>
      </c>
      <c r="I4" s="88" t="s">
        <v>51</v>
      </c>
      <c r="J4" s="88" t="s">
        <v>51</v>
      </c>
    </row>
    <row r="5" spans="1:10" ht="21" customHeight="1">
      <c r="A5" s="88" t="s">
        <v>52</v>
      </c>
      <c r="B5" s="88" t="s">
        <v>52</v>
      </c>
      <c r="C5" s="88" t="s">
        <v>52</v>
      </c>
      <c r="D5" s="88" t="s">
        <v>52</v>
      </c>
      <c r="E5" s="88" t="s">
        <v>52</v>
      </c>
      <c r="F5" s="88" t="s">
        <v>52</v>
      </c>
      <c r="G5" s="88" t="s">
        <v>52</v>
      </c>
      <c r="H5" s="88" t="s">
        <v>52</v>
      </c>
      <c r="I5" s="88" t="s">
        <v>52</v>
      </c>
      <c r="J5" s="88" t="s">
        <v>52</v>
      </c>
    </row>
    <row r="6" spans="1:10" ht="21" customHeight="1">
      <c r="A6" s="88" t="s">
        <v>53</v>
      </c>
      <c r="B6" s="88" t="s">
        <v>53</v>
      </c>
      <c r="C6" s="88" t="s">
        <v>53</v>
      </c>
      <c r="D6" s="88" t="s">
        <v>53</v>
      </c>
      <c r="E6" s="88" t="s">
        <v>53</v>
      </c>
      <c r="F6" s="88" t="s">
        <v>53</v>
      </c>
      <c r="G6" s="88" t="s">
        <v>53</v>
      </c>
      <c r="H6" s="88" t="s">
        <v>53</v>
      </c>
      <c r="I6" s="88" t="s">
        <v>53</v>
      </c>
      <c r="J6" s="88" t="s">
        <v>53</v>
      </c>
    </row>
    <row r="7" spans="1:10" ht="21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1" customHeight="1">
      <c r="A8" s="14" t="s">
        <v>41</v>
      </c>
      <c r="B8" s="15" t="s">
        <v>5</v>
      </c>
      <c r="C8" s="15" t="s">
        <v>13</v>
      </c>
      <c r="D8" s="15" t="s">
        <v>7</v>
      </c>
      <c r="E8" s="15" t="s">
        <v>29</v>
      </c>
      <c r="F8" s="15" t="s">
        <v>54</v>
      </c>
      <c r="G8" s="15" t="s">
        <v>55</v>
      </c>
      <c r="H8" s="15" t="s">
        <v>56</v>
      </c>
      <c r="I8" s="15" t="s">
        <v>24</v>
      </c>
      <c r="J8" s="16" t="s">
        <v>25</v>
      </c>
    </row>
    <row r="9" spans="1:10" ht="21" customHeight="1">
      <c r="A9" s="17">
        <v>45292</v>
      </c>
      <c r="B9" s="18" t="s">
        <v>37</v>
      </c>
      <c r="C9" s="18" t="s">
        <v>33</v>
      </c>
      <c r="D9" s="18" t="s">
        <v>57</v>
      </c>
      <c r="E9" s="19">
        <v>41</v>
      </c>
      <c r="F9" s="19">
        <v>205</v>
      </c>
      <c r="G9" s="20">
        <v>7790</v>
      </c>
      <c r="H9" s="20">
        <v>272.64999999999998</v>
      </c>
      <c r="I9" s="20">
        <v>4128.7</v>
      </c>
      <c r="J9" s="21">
        <v>7667.7</v>
      </c>
    </row>
    <row r="10" spans="1:10" ht="21" customHeight="1">
      <c r="A10" s="22">
        <v>45292</v>
      </c>
      <c r="B10" s="23" t="s">
        <v>37</v>
      </c>
      <c r="C10" s="23" t="s">
        <v>33</v>
      </c>
      <c r="D10" s="23" t="s">
        <v>58</v>
      </c>
      <c r="E10" s="24">
        <v>55</v>
      </c>
      <c r="F10" s="24">
        <v>275</v>
      </c>
      <c r="G10" s="25">
        <v>10450</v>
      </c>
      <c r="H10" s="25">
        <v>731.5</v>
      </c>
      <c r="I10" s="25">
        <v>5538.5</v>
      </c>
      <c r="J10" s="26">
        <v>9912.8700000000008</v>
      </c>
    </row>
    <row r="11" spans="1:10" ht="21" customHeight="1">
      <c r="A11" s="27">
        <v>45292</v>
      </c>
      <c r="B11" s="28" t="s">
        <v>37</v>
      </c>
      <c r="C11" s="28" t="s">
        <v>34</v>
      </c>
      <c r="D11" s="28" t="s">
        <v>57</v>
      </c>
      <c r="E11" s="29">
        <v>42</v>
      </c>
      <c r="F11" s="29">
        <v>84</v>
      </c>
      <c r="G11" s="30">
        <v>16380</v>
      </c>
      <c r="H11" s="30">
        <v>1474.2</v>
      </c>
      <c r="I11" s="30">
        <v>11138.4</v>
      </c>
      <c r="J11" s="31">
        <v>15203.92</v>
      </c>
    </row>
    <row r="12" spans="1:10" ht="21" customHeight="1">
      <c r="A12" s="22">
        <v>45292</v>
      </c>
      <c r="B12" s="23" t="s">
        <v>37</v>
      </c>
      <c r="C12" s="23" t="s">
        <v>34</v>
      </c>
      <c r="D12" s="23" t="s">
        <v>58</v>
      </c>
      <c r="E12" s="24">
        <v>59</v>
      </c>
      <c r="F12" s="24">
        <v>118</v>
      </c>
      <c r="G12" s="25">
        <v>23010</v>
      </c>
      <c r="H12" s="25">
        <v>2876.25</v>
      </c>
      <c r="I12" s="25">
        <v>15646.8</v>
      </c>
      <c r="J12" s="26">
        <v>20536.43</v>
      </c>
    </row>
    <row r="13" spans="1:10" ht="21" customHeight="1">
      <c r="A13" s="27">
        <v>45292</v>
      </c>
      <c r="B13" s="28" t="s">
        <v>37</v>
      </c>
      <c r="C13" s="28" t="s">
        <v>35</v>
      </c>
      <c r="D13" s="28" t="s">
        <v>57</v>
      </c>
      <c r="E13" s="29">
        <v>50</v>
      </c>
      <c r="F13" s="29">
        <v>150</v>
      </c>
      <c r="G13" s="30">
        <v>21300</v>
      </c>
      <c r="H13" s="30">
        <v>745.5</v>
      </c>
      <c r="I13" s="30">
        <v>12993</v>
      </c>
      <c r="J13" s="31">
        <v>20965.59</v>
      </c>
    </row>
    <row r="14" spans="1:10" ht="21" customHeight="1">
      <c r="A14" s="22">
        <v>45292</v>
      </c>
      <c r="B14" s="23" t="s">
        <v>37</v>
      </c>
      <c r="C14" s="23" t="s">
        <v>35</v>
      </c>
      <c r="D14" s="23" t="s">
        <v>58</v>
      </c>
      <c r="E14" s="24">
        <v>64</v>
      </c>
      <c r="F14" s="24">
        <v>192</v>
      </c>
      <c r="G14" s="25">
        <v>27264</v>
      </c>
      <c r="H14" s="25">
        <v>1908.48</v>
      </c>
      <c r="I14" s="25">
        <v>16631.04</v>
      </c>
      <c r="J14" s="26">
        <v>25862.63</v>
      </c>
    </row>
    <row r="15" spans="1:10" ht="21" customHeight="1">
      <c r="A15" s="27">
        <v>45292</v>
      </c>
      <c r="B15" s="28" t="s">
        <v>38</v>
      </c>
      <c r="C15" s="28" t="s">
        <v>33</v>
      </c>
      <c r="D15" s="28" t="s">
        <v>57</v>
      </c>
      <c r="E15" s="29">
        <v>49</v>
      </c>
      <c r="F15" s="29">
        <v>245</v>
      </c>
      <c r="G15" s="30">
        <v>9310</v>
      </c>
      <c r="H15" s="30">
        <v>325.85000000000002</v>
      </c>
      <c r="I15" s="30">
        <v>4934.3</v>
      </c>
      <c r="J15" s="31">
        <v>9163.83</v>
      </c>
    </row>
    <row r="16" spans="1:10" ht="21" customHeight="1">
      <c r="A16" s="22">
        <v>45292</v>
      </c>
      <c r="B16" s="23" t="s">
        <v>38</v>
      </c>
      <c r="C16" s="23" t="s">
        <v>33</v>
      </c>
      <c r="D16" s="23" t="s">
        <v>58</v>
      </c>
      <c r="E16" s="24">
        <v>65</v>
      </c>
      <c r="F16" s="24">
        <v>325</v>
      </c>
      <c r="G16" s="25">
        <v>12350</v>
      </c>
      <c r="H16" s="25">
        <v>864.5</v>
      </c>
      <c r="I16" s="25">
        <v>6545.5</v>
      </c>
      <c r="J16" s="26">
        <v>11715.21</v>
      </c>
    </row>
    <row r="17" spans="1:10" ht="21" customHeight="1">
      <c r="A17" s="27">
        <v>45292</v>
      </c>
      <c r="B17" s="28" t="s">
        <v>38</v>
      </c>
      <c r="C17" s="28" t="s">
        <v>34</v>
      </c>
      <c r="D17" s="28" t="s">
        <v>57</v>
      </c>
      <c r="E17" s="29">
        <v>55</v>
      </c>
      <c r="F17" s="29">
        <v>110</v>
      </c>
      <c r="G17" s="30">
        <v>21450</v>
      </c>
      <c r="H17" s="30">
        <v>1930.5</v>
      </c>
      <c r="I17" s="30">
        <v>14586</v>
      </c>
      <c r="J17" s="31">
        <v>19909.89</v>
      </c>
    </row>
    <row r="18" spans="1:10" ht="21" customHeight="1">
      <c r="A18" s="22">
        <v>45292</v>
      </c>
      <c r="B18" s="23" t="s">
        <v>38</v>
      </c>
      <c r="C18" s="23" t="s">
        <v>34</v>
      </c>
      <c r="D18" s="23" t="s">
        <v>58</v>
      </c>
      <c r="E18" s="24">
        <v>65</v>
      </c>
      <c r="F18" s="24">
        <v>130</v>
      </c>
      <c r="G18" s="25">
        <v>25350</v>
      </c>
      <c r="H18" s="25">
        <v>3168.75</v>
      </c>
      <c r="I18" s="25">
        <v>17238</v>
      </c>
      <c r="J18" s="26">
        <v>22624.880000000001</v>
      </c>
    </row>
    <row r="19" spans="1:10" ht="21" customHeight="1">
      <c r="A19" s="27">
        <v>45292</v>
      </c>
      <c r="B19" s="28" t="s">
        <v>38</v>
      </c>
      <c r="C19" s="28" t="s">
        <v>35</v>
      </c>
      <c r="D19" s="28" t="s">
        <v>57</v>
      </c>
      <c r="E19" s="29">
        <v>62</v>
      </c>
      <c r="F19" s="29">
        <v>186</v>
      </c>
      <c r="G19" s="30">
        <v>26412</v>
      </c>
      <c r="H19" s="30">
        <v>924.42</v>
      </c>
      <c r="I19" s="30">
        <v>16111.32</v>
      </c>
      <c r="J19" s="31">
        <v>25997.33</v>
      </c>
    </row>
    <row r="20" spans="1:10" ht="21" customHeight="1">
      <c r="A20" s="22">
        <v>45292</v>
      </c>
      <c r="B20" s="23" t="s">
        <v>38</v>
      </c>
      <c r="C20" s="23" t="s">
        <v>35</v>
      </c>
      <c r="D20" s="23" t="s">
        <v>58</v>
      </c>
      <c r="E20" s="24">
        <v>74</v>
      </c>
      <c r="F20" s="24">
        <v>222</v>
      </c>
      <c r="G20" s="25">
        <v>31524</v>
      </c>
      <c r="H20" s="25">
        <v>2206.6799999999998</v>
      </c>
      <c r="I20" s="25">
        <v>19229.64</v>
      </c>
      <c r="J20" s="26">
        <v>29903.67</v>
      </c>
    </row>
    <row r="21" spans="1:10" ht="21" customHeight="1">
      <c r="A21" s="27">
        <v>45292</v>
      </c>
      <c r="B21" s="28" t="s">
        <v>39</v>
      </c>
      <c r="C21" s="28" t="s">
        <v>33</v>
      </c>
      <c r="D21" s="28" t="s">
        <v>57</v>
      </c>
      <c r="E21" s="29">
        <v>56</v>
      </c>
      <c r="F21" s="29">
        <v>280</v>
      </c>
      <c r="G21" s="30">
        <v>10640</v>
      </c>
      <c r="H21" s="30">
        <v>372.4</v>
      </c>
      <c r="I21" s="30">
        <v>5639.2</v>
      </c>
      <c r="J21" s="31">
        <v>10472.950000000001</v>
      </c>
    </row>
    <row r="22" spans="1:10" ht="21" customHeight="1">
      <c r="A22" s="22">
        <v>45292</v>
      </c>
      <c r="B22" s="23" t="s">
        <v>39</v>
      </c>
      <c r="C22" s="23" t="s">
        <v>33</v>
      </c>
      <c r="D22" s="23" t="s">
        <v>58</v>
      </c>
      <c r="E22" s="24">
        <v>68</v>
      </c>
      <c r="F22" s="24">
        <v>340</v>
      </c>
      <c r="G22" s="25">
        <v>12920</v>
      </c>
      <c r="H22" s="25">
        <v>904.4</v>
      </c>
      <c r="I22" s="25">
        <v>6847.6</v>
      </c>
      <c r="J22" s="26">
        <v>12255.91</v>
      </c>
    </row>
    <row r="23" spans="1:10" ht="21" customHeight="1">
      <c r="A23" s="27">
        <v>45292</v>
      </c>
      <c r="B23" s="28" t="s">
        <v>39</v>
      </c>
      <c r="C23" s="28" t="s">
        <v>34</v>
      </c>
      <c r="D23" s="28" t="s">
        <v>57</v>
      </c>
      <c r="E23" s="29">
        <v>55</v>
      </c>
      <c r="F23" s="29">
        <v>110</v>
      </c>
      <c r="G23" s="30">
        <v>21450</v>
      </c>
      <c r="H23" s="30">
        <v>1930.5</v>
      </c>
      <c r="I23" s="30">
        <v>14586</v>
      </c>
      <c r="J23" s="31">
        <v>19909.89</v>
      </c>
    </row>
    <row r="24" spans="1:10" ht="21" customHeight="1">
      <c r="A24" s="22">
        <v>45292</v>
      </c>
      <c r="B24" s="23" t="s">
        <v>39</v>
      </c>
      <c r="C24" s="23" t="s">
        <v>34</v>
      </c>
      <c r="D24" s="23" t="s">
        <v>58</v>
      </c>
      <c r="E24" s="24">
        <v>78</v>
      </c>
      <c r="F24" s="24">
        <v>156</v>
      </c>
      <c r="G24" s="25">
        <v>30420</v>
      </c>
      <c r="H24" s="25">
        <v>3802.5</v>
      </c>
      <c r="I24" s="25">
        <v>20685.599999999999</v>
      </c>
      <c r="J24" s="26">
        <v>27149.85</v>
      </c>
    </row>
    <row r="25" spans="1:10" ht="21" customHeight="1">
      <c r="A25" s="27">
        <v>45292</v>
      </c>
      <c r="B25" s="28" t="s">
        <v>39</v>
      </c>
      <c r="C25" s="28" t="s">
        <v>35</v>
      </c>
      <c r="D25" s="28" t="s">
        <v>57</v>
      </c>
      <c r="E25" s="29">
        <v>68</v>
      </c>
      <c r="F25" s="29">
        <v>204</v>
      </c>
      <c r="G25" s="30">
        <v>28968</v>
      </c>
      <c r="H25" s="30">
        <v>1013.88</v>
      </c>
      <c r="I25" s="30">
        <v>17670.48</v>
      </c>
      <c r="J25" s="31">
        <v>28513.200000000001</v>
      </c>
    </row>
    <row r="26" spans="1:10" ht="21" customHeight="1">
      <c r="A26" s="22">
        <v>45292</v>
      </c>
      <c r="B26" s="23" t="s">
        <v>39</v>
      </c>
      <c r="C26" s="23" t="s">
        <v>35</v>
      </c>
      <c r="D26" s="23" t="s">
        <v>58</v>
      </c>
      <c r="E26" s="24">
        <v>77</v>
      </c>
      <c r="F26" s="24">
        <v>231</v>
      </c>
      <c r="G26" s="25">
        <v>32802</v>
      </c>
      <c r="H26" s="25">
        <v>2296.14</v>
      </c>
      <c r="I26" s="25">
        <v>20009.22</v>
      </c>
      <c r="J26" s="26">
        <v>31115.98</v>
      </c>
    </row>
    <row r="27" spans="1:10" ht="21" customHeight="1">
      <c r="A27" s="27">
        <v>45292</v>
      </c>
      <c r="B27" s="28" t="s">
        <v>40</v>
      </c>
      <c r="C27" s="28" t="s">
        <v>33</v>
      </c>
      <c r="D27" s="28" t="s">
        <v>57</v>
      </c>
      <c r="E27" s="29">
        <v>60</v>
      </c>
      <c r="F27" s="29">
        <v>300</v>
      </c>
      <c r="G27" s="30">
        <v>11400</v>
      </c>
      <c r="H27" s="30">
        <v>399</v>
      </c>
      <c r="I27" s="30">
        <v>6042</v>
      </c>
      <c r="J27" s="31">
        <v>11221.02</v>
      </c>
    </row>
    <row r="28" spans="1:10" ht="21" customHeight="1">
      <c r="A28" s="22">
        <v>45292</v>
      </c>
      <c r="B28" s="23" t="s">
        <v>40</v>
      </c>
      <c r="C28" s="23" t="s">
        <v>33</v>
      </c>
      <c r="D28" s="23" t="s">
        <v>58</v>
      </c>
      <c r="E28" s="24">
        <v>74</v>
      </c>
      <c r="F28" s="24">
        <v>370</v>
      </c>
      <c r="G28" s="25">
        <v>14060</v>
      </c>
      <c r="H28" s="25">
        <v>984.2</v>
      </c>
      <c r="I28" s="25">
        <v>7451.8</v>
      </c>
      <c r="J28" s="26">
        <v>13337.32</v>
      </c>
    </row>
    <row r="29" spans="1:10" ht="21" customHeight="1">
      <c r="A29" s="27">
        <v>45292</v>
      </c>
      <c r="B29" s="28" t="s">
        <v>40</v>
      </c>
      <c r="C29" s="28" t="s">
        <v>34</v>
      </c>
      <c r="D29" s="28" t="s">
        <v>57</v>
      </c>
      <c r="E29" s="29">
        <v>61</v>
      </c>
      <c r="F29" s="29">
        <v>122</v>
      </c>
      <c r="G29" s="30">
        <v>23790</v>
      </c>
      <c r="H29" s="30">
        <v>2141.1</v>
      </c>
      <c r="I29" s="30">
        <v>16177.2</v>
      </c>
      <c r="J29" s="31">
        <v>22081.88</v>
      </c>
    </row>
    <row r="30" spans="1:10" ht="21" customHeight="1">
      <c r="A30" s="22">
        <v>45292</v>
      </c>
      <c r="B30" s="23" t="s">
        <v>40</v>
      </c>
      <c r="C30" s="23" t="s">
        <v>34</v>
      </c>
      <c r="D30" s="23" t="s">
        <v>58</v>
      </c>
      <c r="E30" s="24">
        <v>84</v>
      </c>
      <c r="F30" s="24">
        <v>168</v>
      </c>
      <c r="G30" s="25">
        <v>32760</v>
      </c>
      <c r="H30" s="25">
        <v>4095</v>
      </c>
      <c r="I30" s="25">
        <v>22276.799999999999</v>
      </c>
      <c r="J30" s="26">
        <v>29238.3</v>
      </c>
    </row>
    <row r="31" spans="1:10" ht="21" customHeight="1">
      <c r="A31" s="27">
        <v>45292</v>
      </c>
      <c r="B31" s="28" t="s">
        <v>40</v>
      </c>
      <c r="C31" s="28" t="s">
        <v>35</v>
      </c>
      <c r="D31" s="28" t="s">
        <v>57</v>
      </c>
      <c r="E31" s="29">
        <v>76</v>
      </c>
      <c r="F31" s="29">
        <v>228</v>
      </c>
      <c r="G31" s="30">
        <v>32376</v>
      </c>
      <c r="H31" s="30">
        <v>1133.1600000000001</v>
      </c>
      <c r="I31" s="30">
        <v>19749.36</v>
      </c>
      <c r="J31" s="31">
        <v>31867.7</v>
      </c>
    </row>
    <row r="32" spans="1:10" ht="21" customHeight="1">
      <c r="A32" s="22">
        <v>45292</v>
      </c>
      <c r="B32" s="23" t="s">
        <v>40</v>
      </c>
      <c r="C32" s="23" t="s">
        <v>35</v>
      </c>
      <c r="D32" s="23" t="s">
        <v>58</v>
      </c>
      <c r="E32" s="24">
        <v>92</v>
      </c>
      <c r="F32" s="24">
        <v>276</v>
      </c>
      <c r="G32" s="25">
        <v>39192</v>
      </c>
      <c r="H32" s="25">
        <v>2743.44</v>
      </c>
      <c r="I32" s="25">
        <v>23907.119999999999</v>
      </c>
      <c r="J32" s="26">
        <v>37177.53</v>
      </c>
    </row>
    <row r="33" spans="1:10" ht="21" customHeight="1">
      <c r="A33" s="27">
        <v>45323</v>
      </c>
      <c r="B33" s="28" t="s">
        <v>37</v>
      </c>
      <c r="C33" s="28" t="s">
        <v>33</v>
      </c>
      <c r="D33" s="28" t="s">
        <v>57</v>
      </c>
      <c r="E33" s="29">
        <v>38</v>
      </c>
      <c r="F33" s="29">
        <v>190</v>
      </c>
      <c r="G33" s="30">
        <v>7220</v>
      </c>
      <c r="H33" s="30">
        <v>252.7</v>
      </c>
      <c r="I33" s="30">
        <v>3826.6</v>
      </c>
      <c r="J33" s="31">
        <v>7106.65</v>
      </c>
    </row>
    <row r="34" spans="1:10" ht="21" customHeight="1">
      <c r="A34" s="22">
        <v>45323</v>
      </c>
      <c r="B34" s="23" t="s">
        <v>37</v>
      </c>
      <c r="C34" s="23" t="s">
        <v>33</v>
      </c>
      <c r="D34" s="23" t="s">
        <v>58</v>
      </c>
      <c r="E34" s="24">
        <v>59</v>
      </c>
      <c r="F34" s="24">
        <v>295</v>
      </c>
      <c r="G34" s="25">
        <v>11210</v>
      </c>
      <c r="H34" s="25">
        <v>784.7</v>
      </c>
      <c r="I34" s="25">
        <v>5941.3</v>
      </c>
      <c r="J34" s="26">
        <v>10633.81</v>
      </c>
    </row>
    <row r="35" spans="1:10" ht="21" customHeight="1">
      <c r="A35" s="27">
        <v>45323</v>
      </c>
      <c r="B35" s="28" t="s">
        <v>37</v>
      </c>
      <c r="C35" s="28" t="s">
        <v>34</v>
      </c>
      <c r="D35" s="28" t="s">
        <v>57</v>
      </c>
      <c r="E35" s="29">
        <v>50</v>
      </c>
      <c r="F35" s="29">
        <v>100</v>
      </c>
      <c r="G35" s="30">
        <v>19500</v>
      </c>
      <c r="H35" s="30">
        <v>1755</v>
      </c>
      <c r="I35" s="30">
        <v>13260</v>
      </c>
      <c r="J35" s="31">
        <v>18099.900000000001</v>
      </c>
    </row>
    <row r="36" spans="1:10" ht="21" customHeight="1">
      <c r="A36" s="22">
        <v>45323</v>
      </c>
      <c r="B36" s="23" t="s">
        <v>37</v>
      </c>
      <c r="C36" s="23" t="s">
        <v>34</v>
      </c>
      <c r="D36" s="23" t="s">
        <v>58</v>
      </c>
      <c r="E36" s="24">
        <v>68</v>
      </c>
      <c r="F36" s="24">
        <v>136</v>
      </c>
      <c r="G36" s="25">
        <v>26520</v>
      </c>
      <c r="H36" s="25">
        <v>3315</v>
      </c>
      <c r="I36" s="25">
        <v>18033.599999999999</v>
      </c>
      <c r="J36" s="26">
        <v>23669.1</v>
      </c>
    </row>
    <row r="37" spans="1:10" ht="21" customHeight="1">
      <c r="A37" s="27">
        <v>45323</v>
      </c>
      <c r="B37" s="28" t="s">
        <v>37</v>
      </c>
      <c r="C37" s="28" t="s">
        <v>35</v>
      </c>
      <c r="D37" s="28" t="s">
        <v>57</v>
      </c>
      <c r="E37" s="29">
        <v>53</v>
      </c>
      <c r="F37" s="29">
        <v>159</v>
      </c>
      <c r="G37" s="30">
        <v>22578</v>
      </c>
      <c r="H37" s="30">
        <v>790.23</v>
      </c>
      <c r="I37" s="30">
        <v>13772.58</v>
      </c>
      <c r="J37" s="31">
        <v>22223.53</v>
      </c>
    </row>
    <row r="38" spans="1:10" ht="21" customHeight="1">
      <c r="A38" s="22">
        <v>45323</v>
      </c>
      <c r="B38" s="23" t="s">
        <v>37</v>
      </c>
      <c r="C38" s="23" t="s">
        <v>35</v>
      </c>
      <c r="D38" s="23" t="s">
        <v>58</v>
      </c>
      <c r="E38" s="24">
        <v>68</v>
      </c>
      <c r="F38" s="24">
        <v>204</v>
      </c>
      <c r="G38" s="25">
        <v>28968</v>
      </c>
      <c r="H38" s="25">
        <v>2027.76</v>
      </c>
      <c r="I38" s="25">
        <v>17670.48</v>
      </c>
      <c r="J38" s="26">
        <v>27479.040000000001</v>
      </c>
    </row>
    <row r="39" spans="1:10" ht="21" customHeight="1">
      <c r="A39" s="27">
        <v>45323</v>
      </c>
      <c r="B39" s="28" t="s">
        <v>38</v>
      </c>
      <c r="C39" s="28" t="s">
        <v>33</v>
      </c>
      <c r="D39" s="28" t="s">
        <v>57</v>
      </c>
      <c r="E39" s="29">
        <v>48</v>
      </c>
      <c r="F39" s="29">
        <v>240</v>
      </c>
      <c r="G39" s="30">
        <v>9120</v>
      </c>
      <c r="H39" s="30">
        <v>319.2</v>
      </c>
      <c r="I39" s="30">
        <v>4833.6000000000004</v>
      </c>
      <c r="J39" s="31">
        <v>8976.82</v>
      </c>
    </row>
    <row r="40" spans="1:10" ht="21" customHeight="1">
      <c r="A40" s="22">
        <v>45323</v>
      </c>
      <c r="B40" s="23" t="s">
        <v>38</v>
      </c>
      <c r="C40" s="23" t="s">
        <v>33</v>
      </c>
      <c r="D40" s="23" t="s">
        <v>58</v>
      </c>
      <c r="E40" s="24">
        <v>66</v>
      </c>
      <c r="F40" s="24">
        <v>330</v>
      </c>
      <c r="G40" s="25">
        <v>12540</v>
      </c>
      <c r="H40" s="25">
        <v>877.8</v>
      </c>
      <c r="I40" s="25">
        <v>6646.2</v>
      </c>
      <c r="J40" s="26">
        <v>11895.44</v>
      </c>
    </row>
    <row r="41" spans="1:10" ht="21" customHeight="1">
      <c r="A41" s="27">
        <v>45323</v>
      </c>
      <c r="B41" s="28" t="s">
        <v>38</v>
      </c>
      <c r="C41" s="28" t="s">
        <v>34</v>
      </c>
      <c r="D41" s="28" t="s">
        <v>57</v>
      </c>
      <c r="E41" s="29">
        <v>58</v>
      </c>
      <c r="F41" s="29">
        <v>116</v>
      </c>
      <c r="G41" s="30">
        <v>22620</v>
      </c>
      <c r="H41" s="30">
        <v>2035.8</v>
      </c>
      <c r="I41" s="30">
        <v>15381.6</v>
      </c>
      <c r="J41" s="31">
        <v>20995.88</v>
      </c>
    </row>
    <row r="42" spans="1:10" ht="21" customHeight="1">
      <c r="A42" s="22">
        <v>45323</v>
      </c>
      <c r="B42" s="23" t="s">
        <v>38</v>
      </c>
      <c r="C42" s="23" t="s">
        <v>34</v>
      </c>
      <c r="D42" s="23" t="s">
        <v>58</v>
      </c>
      <c r="E42" s="24">
        <v>75</v>
      </c>
      <c r="F42" s="24">
        <v>150</v>
      </c>
      <c r="G42" s="25">
        <v>29250</v>
      </c>
      <c r="H42" s="25">
        <v>3656.25</v>
      </c>
      <c r="I42" s="25">
        <v>19890</v>
      </c>
      <c r="J42" s="26">
        <v>26105.63</v>
      </c>
    </row>
    <row r="43" spans="1:10" ht="21" customHeight="1">
      <c r="A43" s="27">
        <v>45323</v>
      </c>
      <c r="B43" s="28" t="s">
        <v>38</v>
      </c>
      <c r="C43" s="28" t="s">
        <v>35</v>
      </c>
      <c r="D43" s="28" t="s">
        <v>57</v>
      </c>
      <c r="E43" s="29">
        <v>66</v>
      </c>
      <c r="F43" s="29">
        <v>198</v>
      </c>
      <c r="G43" s="30">
        <v>28116</v>
      </c>
      <c r="H43" s="30">
        <v>984.06</v>
      </c>
      <c r="I43" s="30">
        <v>17150.759999999998</v>
      </c>
      <c r="J43" s="31">
        <v>27674.58</v>
      </c>
    </row>
    <row r="44" spans="1:10" ht="21" customHeight="1">
      <c r="A44" s="22">
        <v>45323</v>
      </c>
      <c r="B44" s="23" t="s">
        <v>38</v>
      </c>
      <c r="C44" s="23" t="s">
        <v>35</v>
      </c>
      <c r="D44" s="23" t="s">
        <v>58</v>
      </c>
      <c r="E44" s="24">
        <v>72</v>
      </c>
      <c r="F44" s="24">
        <v>216</v>
      </c>
      <c r="G44" s="25">
        <v>30672</v>
      </c>
      <c r="H44" s="25">
        <v>2147.04</v>
      </c>
      <c r="I44" s="25">
        <v>18709.919999999998</v>
      </c>
      <c r="J44" s="26">
        <v>29095.46</v>
      </c>
    </row>
    <row r="45" spans="1:10" ht="21" customHeight="1">
      <c r="A45" s="27">
        <v>45323</v>
      </c>
      <c r="B45" s="28" t="s">
        <v>39</v>
      </c>
      <c r="C45" s="28" t="s">
        <v>33</v>
      </c>
      <c r="D45" s="28" t="s">
        <v>57</v>
      </c>
      <c r="E45" s="29">
        <v>57</v>
      </c>
      <c r="F45" s="29">
        <v>285</v>
      </c>
      <c r="G45" s="30">
        <v>10830</v>
      </c>
      <c r="H45" s="30">
        <v>379.05</v>
      </c>
      <c r="I45" s="30">
        <v>5739.9</v>
      </c>
      <c r="J45" s="31">
        <v>10659.97</v>
      </c>
    </row>
    <row r="46" spans="1:10" ht="21" customHeight="1">
      <c r="A46" s="22">
        <v>45323</v>
      </c>
      <c r="B46" s="23" t="s">
        <v>39</v>
      </c>
      <c r="C46" s="23" t="s">
        <v>33</v>
      </c>
      <c r="D46" s="23" t="s">
        <v>58</v>
      </c>
      <c r="E46" s="24">
        <v>66</v>
      </c>
      <c r="F46" s="24">
        <v>330</v>
      </c>
      <c r="G46" s="25">
        <v>12540</v>
      </c>
      <c r="H46" s="25">
        <v>877.8</v>
      </c>
      <c r="I46" s="25">
        <v>6646.2</v>
      </c>
      <c r="J46" s="26">
        <v>11895.44</v>
      </c>
    </row>
    <row r="47" spans="1:10" ht="21" customHeight="1">
      <c r="A47" s="27">
        <v>45323</v>
      </c>
      <c r="B47" s="28" t="s">
        <v>39</v>
      </c>
      <c r="C47" s="28" t="s">
        <v>34</v>
      </c>
      <c r="D47" s="28" t="s">
        <v>57</v>
      </c>
      <c r="E47" s="29">
        <v>59</v>
      </c>
      <c r="F47" s="29">
        <v>118</v>
      </c>
      <c r="G47" s="30">
        <v>23010</v>
      </c>
      <c r="H47" s="30">
        <v>2070.9</v>
      </c>
      <c r="I47" s="30">
        <v>15646.8</v>
      </c>
      <c r="J47" s="31">
        <v>21357.88</v>
      </c>
    </row>
    <row r="48" spans="1:10" ht="21" customHeight="1">
      <c r="A48" s="22">
        <v>45323</v>
      </c>
      <c r="B48" s="23" t="s">
        <v>39</v>
      </c>
      <c r="C48" s="23" t="s">
        <v>34</v>
      </c>
      <c r="D48" s="23" t="s">
        <v>58</v>
      </c>
      <c r="E48" s="24">
        <v>77</v>
      </c>
      <c r="F48" s="24">
        <v>154</v>
      </c>
      <c r="G48" s="25">
        <v>30030</v>
      </c>
      <c r="H48" s="25">
        <v>3753.75</v>
      </c>
      <c r="I48" s="25">
        <v>20420.400000000001</v>
      </c>
      <c r="J48" s="26">
        <v>26801.78</v>
      </c>
    </row>
    <row r="49" spans="1:10" ht="21" customHeight="1">
      <c r="A49" s="27">
        <v>45323</v>
      </c>
      <c r="B49" s="28" t="s">
        <v>39</v>
      </c>
      <c r="C49" s="28" t="s">
        <v>35</v>
      </c>
      <c r="D49" s="28" t="s">
        <v>57</v>
      </c>
      <c r="E49" s="29">
        <v>65</v>
      </c>
      <c r="F49" s="29">
        <v>195</v>
      </c>
      <c r="G49" s="30">
        <v>27690</v>
      </c>
      <c r="H49" s="30">
        <v>969.15</v>
      </c>
      <c r="I49" s="30">
        <v>16890.900000000001</v>
      </c>
      <c r="J49" s="31">
        <v>27255.27</v>
      </c>
    </row>
    <row r="50" spans="1:10" ht="21" customHeight="1">
      <c r="A50" s="22">
        <v>45323</v>
      </c>
      <c r="B50" s="23" t="s">
        <v>39</v>
      </c>
      <c r="C50" s="23" t="s">
        <v>35</v>
      </c>
      <c r="D50" s="23" t="s">
        <v>58</v>
      </c>
      <c r="E50" s="24">
        <v>89</v>
      </c>
      <c r="F50" s="24">
        <v>267</v>
      </c>
      <c r="G50" s="25">
        <v>37914</v>
      </c>
      <c r="H50" s="25">
        <v>2653.98</v>
      </c>
      <c r="I50" s="25">
        <v>23127.54</v>
      </c>
      <c r="J50" s="26">
        <v>35965.22</v>
      </c>
    </row>
    <row r="51" spans="1:10" ht="21" customHeight="1">
      <c r="A51" s="27">
        <v>45323</v>
      </c>
      <c r="B51" s="28" t="s">
        <v>40</v>
      </c>
      <c r="C51" s="28" t="s">
        <v>33</v>
      </c>
      <c r="D51" s="28" t="s">
        <v>57</v>
      </c>
      <c r="E51" s="29">
        <v>64</v>
      </c>
      <c r="F51" s="29">
        <v>320</v>
      </c>
      <c r="G51" s="30">
        <v>12160</v>
      </c>
      <c r="H51" s="30">
        <v>425.6</v>
      </c>
      <c r="I51" s="30">
        <v>6444.8</v>
      </c>
      <c r="J51" s="31">
        <v>11969.09</v>
      </c>
    </row>
    <row r="52" spans="1:10" ht="21" customHeight="1">
      <c r="A52" s="22">
        <v>45323</v>
      </c>
      <c r="B52" s="23" t="s">
        <v>40</v>
      </c>
      <c r="C52" s="23" t="s">
        <v>33</v>
      </c>
      <c r="D52" s="23" t="s">
        <v>58</v>
      </c>
      <c r="E52" s="24">
        <v>77</v>
      </c>
      <c r="F52" s="24">
        <v>385</v>
      </c>
      <c r="G52" s="25">
        <v>14630</v>
      </c>
      <c r="H52" s="25">
        <v>1024.0999999999999</v>
      </c>
      <c r="I52" s="25">
        <v>7753.9</v>
      </c>
      <c r="J52" s="26">
        <v>13878.02</v>
      </c>
    </row>
    <row r="53" spans="1:10" ht="21" customHeight="1">
      <c r="A53" s="27">
        <v>45323</v>
      </c>
      <c r="B53" s="28" t="s">
        <v>40</v>
      </c>
      <c r="C53" s="28" t="s">
        <v>34</v>
      </c>
      <c r="D53" s="28" t="s">
        <v>57</v>
      </c>
      <c r="E53" s="29">
        <v>74</v>
      </c>
      <c r="F53" s="29">
        <v>148</v>
      </c>
      <c r="G53" s="30">
        <v>28860</v>
      </c>
      <c r="H53" s="30">
        <v>2597.4</v>
      </c>
      <c r="I53" s="30">
        <v>19624.8</v>
      </c>
      <c r="J53" s="31">
        <v>26787.85</v>
      </c>
    </row>
    <row r="54" spans="1:10" ht="21" customHeight="1">
      <c r="A54" s="22">
        <v>45323</v>
      </c>
      <c r="B54" s="23" t="s">
        <v>40</v>
      </c>
      <c r="C54" s="23" t="s">
        <v>34</v>
      </c>
      <c r="D54" s="23" t="s">
        <v>58</v>
      </c>
      <c r="E54" s="24">
        <v>87</v>
      </c>
      <c r="F54" s="24">
        <v>174</v>
      </c>
      <c r="G54" s="25">
        <v>33930</v>
      </c>
      <c r="H54" s="25">
        <v>4241.25</v>
      </c>
      <c r="I54" s="25">
        <v>23072.400000000001</v>
      </c>
      <c r="J54" s="26">
        <v>30282.53</v>
      </c>
    </row>
    <row r="55" spans="1:10" ht="21" customHeight="1">
      <c r="A55" s="27">
        <v>45323</v>
      </c>
      <c r="B55" s="28" t="s">
        <v>40</v>
      </c>
      <c r="C55" s="28" t="s">
        <v>35</v>
      </c>
      <c r="D55" s="28" t="s">
        <v>57</v>
      </c>
      <c r="E55" s="29">
        <v>79</v>
      </c>
      <c r="F55" s="29">
        <v>237</v>
      </c>
      <c r="G55" s="30">
        <v>33654</v>
      </c>
      <c r="H55" s="30">
        <v>1177.8900000000001</v>
      </c>
      <c r="I55" s="30">
        <v>20528.939999999999</v>
      </c>
      <c r="J55" s="31">
        <v>33125.629999999997</v>
      </c>
    </row>
    <row r="56" spans="1:10" ht="21" customHeight="1">
      <c r="A56" s="22">
        <v>45323</v>
      </c>
      <c r="B56" s="23" t="s">
        <v>40</v>
      </c>
      <c r="C56" s="23" t="s">
        <v>35</v>
      </c>
      <c r="D56" s="23" t="s">
        <v>58</v>
      </c>
      <c r="E56" s="24">
        <v>97</v>
      </c>
      <c r="F56" s="24">
        <v>291</v>
      </c>
      <c r="G56" s="25">
        <v>41322</v>
      </c>
      <c r="H56" s="25">
        <v>2892.54</v>
      </c>
      <c r="I56" s="25">
        <v>25206.42</v>
      </c>
      <c r="J56" s="26">
        <v>39198.050000000003</v>
      </c>
    </row>
    <row r="57" spans="1:10" ht="21" customHeight="1">
      <c r="A57" s="27">
        <v>45352</v>
      </c>
      <c r="B57" s="28" t="s">
        <v>37</v>
      </c>
      <c r="C57" s="28" t="s">
        <v>33</v>
      </c>
      <c r="D57" s="28" t="s">
        <v>57</v>
      </c>
      <c r="E57" s="29">
        <v>50</v>
      </c>
      <c r="F57" s="29">
        <v>250</v>
      </c>
      <c r="G57" s="30">
        <v>9500</v>
      </c>
      <c r="H57" s="30">
        <v>332.5</v>
      </c>
      <c r="I57" s="30">
        <v>5035</v>
      </c>
      <c r="J57" s="31">
        <v>9350.85</v>
      </c>
    </row>
    <row r="58" spans="1:10" ht="21" customHeight="1">
      <c r="A58" s="22">
        <v>45352</v>
      </c>
      <c r="B58" s="23" t="s">
        <v>37</v>
      </c>
      <c r="C58" s="23" t="s">
        <v>33</v>
      </c>
      <c r="D58" s="23" t="s">
        <v>58</v>
      </c>
      <c r="E58" s="24">
        <v>66</v>
      </c>
      <c r="F58" s="24">
        <v>330</v>
      </c>
      <c r="G58" s="25">
        <v>12540</v>
      </c>
      <c r="H58" s="25">
        <v>877.8</v>
      </c>
      <c r="I58" s="25">
        <v>6646.2</v>
      </c>
      <c r="J58" s="26">
        <v>11895.44</v>
      </c>
    </row>
    <row r="59" spans="1:10" ht="21" customHeight="1">
      <c r="A59" s="27">
        <v>45352</v>
      </c>
      <c r="B59" s="28" t="s">
        <v>37</v>
      </c>
      <c r="C59" s="28" t="s">
        <v>34</v>
      </c>
      <c r="D59" s="28" t="s">
        <v>57</v>
      </c>
      <c r="E59" s="29">
        <v>57</v>
      </c>
      <c r="F59" s="29">
        <v>114</v>
      </c>
      <c r="G59" s="30">
        <v>22230</v>
      </c>
      <c r="H59" s="30">
        <v>2000.7</v>
      </c>
      <c r="I59" s="30">
        <v>15116.4</v>
      </c>
      <c r="J59" s="31">
        <v>20633.89</v>
      </c>
    </row>
    <row r="60" spans="1:10" ht="21" customHeight="1">
      <c r="A60" s="22">
        <v>45352</v>
      </c>
      <c r="B60" s="23" t="s">
        <v>37</v>
      </c>
      <c r="C60" s="23" t="s">
        <v>34</v>
      </c>
      <c r="D60" s="23" t="s">
        <v>58</v>
      </c>
      <c r="E60" s="24">
        <v>67</v>
      </c>
      <c r="F60" s="24">
        <v>134</v>
      </c>
      <c r="G60" s="25">
        <v>26130</v>
      </c>
      <c r="H60" s="25">
        <v>3266.25</v>
      </c>
      <c r="I60" s="25">
        <v>17768.400000000001</v>
      </c>
      <c r="J60" s="26">
        <v>23321.03</v>
      </c>
    </row>
    <row r="61" spans="1:10" ht="21" customHeight="1">
      <c r="A61" s="27">
        <v>45352</v>
      </c>
      <c r="B61" s="28" t="s">
        <v>37</v>
      </c>
      <c r="C61" s="28" t="s">
        <v>35</v>
      </c>
      <c r="D61" s="28" t="s">
        <v>57</v>
      </c>
      <c r="E61" s="29">
        <v>57</v>
      </c>
      <c r="F61" s="29">
        <v>171</v>
      </c>
      <c r="G61" s="30">
        <v>24282</v>
      </c>
      <c r="H61" s="30">
        <v>849.87</v>
      </c>
      <c r="I61" s="30">
        <v>14812.02</v>
      </c>
      <c r="J61" s="31">
        <v>23900.77</v>
      </c>
    </row>
    <row r="62" spans="1:10" ht="21" customHeight="1">
      <c r="A62" s="22">
        <v>45352</v>
      </c>
      <c r="B62" s="23" t="s">
        <v>37</v>
      </c>
      <c r="C62" s="23" t="s">
        <v>35</v>
      </c>
      <c r="D62" s="23" t="s">
        <v>58</v>
      </c>
      <c r="E62" s="24">
        <v>85</v>
      </c>
      <c r="F62" s="24">
        <v>255</v>
      </c>
      <c r="G62" s="25">
        <v>36210</v>
      </c>
      <c r="H62" s="25">
        <v>2534.6999999999998</v>
      </c>
      <c r="I62" s="25">
        <v>22088.1</v>
      </c>
      <c r="J62" s="26">
        <v>34348.81</v>
      </c>
    </row>
    <row r="63" spans="1:10" ht="21" customHeight="1">
      <c r="A63" s="27">
        <v>45352</v>
      </c>
      <c r="B63" s="28" t="s">
        <v>38</v>
      </c>
      <c r="C63" s="28" t="s">
        <v>33</v>
      </c>
      <c r="D63" s="28" t="s">
        <v>57</v>
      </c>
      <c r="E63" s="29">
        <v>59</v>
      </c>
      <c r="F63" s="29">
        <v>295</v>
      </c>
      <c r="G63" s="30">
        <v>11210</v>
      </c>
      <c r="H63" s="30">
        <v>392.35</v>
      </c>
      <c r="I63" s="30">
        <v>5941.3</v>
      </c>
      <c r="J63" s="31">
        <v>11034</v>
      </c>
    </row>
    <row r="64" spans="1:10" ht="21" customHeight="1">
      <c r="A64" s="22">
        <v>45352</v>
      </c>
      <c r="B64" s="23" t="s">
        <v>38</v>
      </c>
      <c r="C64" s="23" t="s">
        <v>33</v>
      </c>
      <c r="D64" s="23" t="s">
        <v>58</v>
      </c>
      <c r="E64" s="24">
        <v>76</v>
      </c>
      <c r="F64" s="24">
        <v>380</v>
      </c>
      <c r="G64" s="25">
        <v>14440</v>
      </c>
      <c r="H64" s="25">
        <v>1010.8</v>
      </c>
      <c r="I64" s="25">
        <v>7653.2</v>
      </c>
      <c r="J64" s="26">
        <v>13697.78</v>
      </c>
    </row>
    <row r="65" spans="1:10" ht="21" customHeight="1">
      <c r="A65" s="27">
        <v>45352</v>
      </c>
      <c r="B65" s="28" t="s">
        <v>38</v>
      </c>
      <c r="C65" s="28" t="s">
        <v>34</v>
      </c>
      <c r="D65" s="28" t="s">
        <v>57</v>
      </c>
      <c r="E65" s="29">
        <v>62</v>
      </c>
      <c r="F65" s="29">
        <v>124</v>
      </c>
      <c r="G65" s="30">
        <v>24180</v>
      </c>
      <c r="H65" s="30">
        <v>2176.1999999999998</v>
      </c>
      <c r="I65" s="30">
        <v>16442.400000000001</v>
      </c>
      <c r="J65" s="31">
        <v>22443.88</v>
      </c>
    </row>
    <row r="66" spans="1:10" ht="21" customHeight="1">
      <c r="A66" s="22">
        <v>45352</v>
      </c>
      <c r="B66" s="23" t="s">
        <v>38</v>
      </c>
      <c r="C66" s="23" t="s">
        <v>34</v>
      </c>
      <c r="D66" s="23" t="s">
        <v>58</v>
      </c>
      <c r="E66" s="24">
        <v>87</v>
      </c>
      <c r="F66" s="24">
        <v>174</v>
      </c>
      <c r="G66" s="25">
        <v>33930</v>
      </c>
      <c r="H66" s="25">
        <v>4241.25</v>
      </c>
      <c r="I66" s="25">
        <v>23072.400000000001</v>
      </c>
      <c r="J66" s="26">
        <v>30282.53</v>
      </c>
    </row>
    <row r="67" spans="1:10" ht="21" customHeight="1">
      <c r="A67" s="27">
        <v>45352</v>
      </c>
      <c r="B67" s="28" t="s">
        <v>38</v>
      </c>
      <c r="C67" s="28" t="s">
        <v>35</v>
      </c>
      <c r="D67" s="28" t="s">
        <v>57</v>
      </c>
      <c r="E67" s="29">
        <v>69</v>
      </c>
      <c r="F67" s="29">
        <v>207</v>
      </c>
      <c r="G67" s="30">
        <v>29394</v>
      </c>
      <c r="H67" s="30">
        <v>1028.79</v>
      </c>
      <c r="I67" s="30">
        <v>17930.34</v>
      </c>
      <c r="J67" s="31">
        <v>28932.51</v>
      </c>
    </row>
    <row r="68" spans="1:10" ht="21" customHeight="1">
      <c r="A68" s="22">
        <v>45352</v>
      </c>
      <c r="B68" s="23" t="s">
        <v>38</v>
      </c>
      <c r="C68" s="23" t="s">
        <v>35</v>
      </c>
      <c r="D68" s="23" t="s">
        <v>58</v>
      </c>
      <c r="E68" s="24">
        <v>88</v>
      </c>
      <c r="F68" s="24">
        <v>264</v>
      </c>
      <c r="G68" s="25">
        <v>37488</v>
      </c>
      <c r="H68" s="25">
        <v>2624.16</v>
      </c>
      <c r="I68" s="25">
        <v>22867.68</v>
      </c>
      <c r="J68" s="26">
        <v>35561.120000000003</v>
      </c>
    </row>
    <row r="69" spans="1:10" ht="21" customHeight="1">
      <c r="A69" s="27">
        <v>45352</v>
      </c>
      <c r="B69" s="28" t="s">
        <v>39</v>
      </c>
      <c r="C69" s="28" t="s">
        <v>33</v>
      </c>
      <c r="D69" s="28" t="s">
        <v>57</v>
      </c>
      <c r="E69" s="29">
        <v>59</v>
      </c>
      <c r="F69" s="29">
        <v>295</v>
      </c>
      <c r="G69" s="30">
        <v>11210</v>
      </c>
      <c r="H69" s="30">
        <v>392.35</v>
      </c>
      <c r="I69" s="30">
        <v>5941.3</v>
      </c>
      <c r="J69" s="31">
        <v>11034</v>
      </c>
    </row>
    <row r="70" spans="1:10" ht="21" customHeight="1">
      <c r="A70" s="22">
        <v>45352</v>
      </c>
      <c r="B70" s="23" t="s">
        <v>39</v>
      </c>
      <c r="C70" s="23" t="s">
        <v>33</v>
      </c>
      <c r="D70" s="23" t="s">
        <v>58</v>
      </c>
      <c r="E70" s="24">
        <v>82</v>
      </c>
      <c r="F70" s="24">
        <v>410</v>
      </c>
      <c r="G70" s="25">
        <v>15580</v>
      </c>
      <c r="H70" s="25">
        <v>1090.5999999999999</v>
      </c>
      <c r="I70" s="25">
        <v>8257.4</v>
      </c>
      <c r="J70" s="26">
        <v>14779.19</v>
      </c>
    </row>
    <row r="71" spans="1:10" ht="21" customHeight="1">
      <c r="A71" s="27">
        <v>45352</v>
      </c>
      <c r="B71" s="28" t="s">
        <v>39</v>
      </c>
      <c r="C71" s="28" t="s">
        <v>34</v>
      </c>
      <c r="D71" s="28" t="s">
        <v>57</v>
      </c>
      <c r="E71" s="29">
        <v>65</v>
      </c>
      <c r="F71" s="29">
        <v>130</v>
      </c>
      <c r="G71" s="30">
        <v>25350</v>
      </c>
      <c r="H71" s="30">
        <v>2281.5</v>
      </c>
      <c r="I71" s="30">
        <v>17238</v>
      </c>
      <c r="J71" s="31">
        <v>23529.87</v>
      </c>
    </row>
    <row r="72" spans="1:10" ht="21" customHeight="1">
      <c r="A72" s="22">
        <v>45352</v>
      </c>
      <c r="B72" s="23" t="s">
        <v>39</v>
      </c>
      <c r="C72" s="23" t="s">
        <v>34</v>
      </c>
      <c r="D72" s="23" t="s">
        <v>58</v>
      </c>
      <c r="E72" s="24">
        <v>84</v>
      </c>
      <c r="F72" s="24">
        <v>168</v>
      </c>
      <c r="G72" s="25">
        <v>32760</v>
      </c>
      <c r="H72" s="25">
        <v>4095</v>
      </c>
      <c r="I72" s="25">
        <v>22276.799999999999</v>
      </c>
      <c r="J72" s="26">
        <v>29238.3</v>
      </c>
    </row>
    <row r="73" spans="1:10" ht="21" customHeight="1">
      <c r="A73" s="27">
        <v>45352</v>
      </c>
      <c r="B73" s="28" t="s">
        <v>39</v>
      </c>
      <c r="C73" s="28" t="s">
        <v>35</v>
      </c>
      <c r="D73" s="28" t="s">
        <v>57</v>
      </c>
      <c r="E73" s="29">
        <v>82</v>
      </c>
      <c r="F73" s="29">
        <v>246</v>
      </c>
      <c r="G73" s="30">
        <v>34932</v>
      </c>
      <c r="H73" s="30">
        <v>1222.6199999999999</v>
      </c>
      <c r="I73" s="30">
        <v>21308.52</v>
      </c>
      <c r="J73" s="31">
        <v>34383.57</v>
      </c>
    </row>
    <row r="74" spans="1:10" ht="21" customHeight="1">
      <c r="A74" s="22">
        <v>45352</v>
      </c>
      <c r="B74" s="23" t="s">
        <v>39</v>
      </c>
      <c r="C74" s="23" t="s">
        <v>35</v>
      </c>
      <c r="D74" s="23" t="s">
        <v>58</v>
      </c>
      <c r="E74" s="24">
        <v>102</v>
      </c>
      <c r="F74" s="24">
        <v>306</v>
      </c>
      <c r="G74" s="25">
        <v>43452</v>
      </c>
      <c r="H74" s="25">
        <v>3041.64</v>
      </c>
      <c r="I74" s="25">
        <v>26505.72</v>
      </c>
      <c r="J74" s="26">
        <v>41218.57</v>
      </c>
    </row>
    <row r="75" spans="1:10" ht="21" customHeight="1">
      <c r="A75" s="27">
        <v>45352</v>
      </c>
      <c r="B75" s="28" t="s">
        <v>40</v>
      </c>
      <c r="C75" s="28" t="s">
        <v>33</v>
      </c>
      <c r="D75" s="28" t="s">
        <v>57</v>
      </c>
      <c r="E75" s="29">
        <v>68</v>
      </c>
      <c r="F75" s="29">
        <v>340</v>
      </c>
      <c r="G75" s="30">
        <v>12920</v>
      </c>
      <c r="H75" s="30">
        <v>452.2</v>
      </c>
      <c r="I75" s="30">
        <v>6847.6</v>
      </c>
      <c r="J75" s="31">
        <v>12717.16</v>
      </c>
    </row>
    <row r="76" spans="1:10" ht="21" customHeight="1">
      <c r="A76" s="22">
        <v>45352</v>
      </c>
      <c r="B76" s="23" t="s">
        <v>40</v>
      </c>
      <c r="C76" s="23" t="s">
        <v>33</v>
      </c>
      <c r="D76" s="23" t="s">
        <v>58</v>
      </c>
      <c r="E76" s="24">
        <v>83</v>
      </c>
      <c r="F76" s="24">
        <v>415</v>
      </c>
      <c r="G76" s="25">
        <v>15770</v>
      </c>
      <c r="H76" s="25">
        <v>1103.9000000000001</v>
      </c>
      <c r="I76" s="25">
        <v>8358.1</v>
      </c>
      <c r="J76" s="26">
        <v>14959.42</v>
      </c>
    </row>
    <row r="77" spans="1:10" ht="21" customHeight="1">
      <c r="A77" s="27">
        <v>45352</v>
      </c>
      <c r="B77" s="28" t="s">
        <v>40</v>
      </c>
      <c r="C77" s="28" t="s">
        <v>34</v>
      </c>
      <c r="D77" s="28" t="s">
        <v>57</v>
      </c>
      <c r="E77" s="29">
        <v>80</v>
      </c>
      <c r="F77" s="29">
        <v>160</v>
      </c>
      <c r="G77" s="30">
        <v>31200</v>
      </c>
      <c r="H77" s="30">
        <v>2808</v>
      </c>
      <c r="I77" s="30">
        <v>21216</v>
      </c>
      <c r="J77" s="31">
        <v>28959.84</v>
      </c>
    </row>
    <row r="78" spans="1:10" ht="21" customHeight="1">
      <c r="A78" s="22">
        <v>45352</v>
      </c>
      <c r="B78" s="23" t="s">
        <v>40</v>
      </c>
      <c r="C78" s="23" t="s">
        <v>34</v>
      </c>
      <c r="D78" s="23" t="s">
        <v>58</v>
      </c>
      <c r="E78" s="24">
        <v>95</v>
      </c>
      <c r="F78" s="24">
        <v>190</v>
      </c>
      <c r="G78" s="25">
        <v>37050</v>
      </c>
      <c r="H78" s="25">
        <v>4631.25</v>
      </c>
      <c r="I78" s="25">
        <v>25194</v>
      </c>
      <c r="J78" s="26">
        <v>33067.129999999997</v>
      </c>
    </row>
    <row r="79" spans="1:10" ht="21" customHeight="1">
      <c r="A79" s="27">
        <v>45352</v>
      </c>
      <c r="B79" s="28" t="s">
        <v>40</v>
      </c>
      <c r="C79" s="28" t="s">
        <v>35</v>
      </c>
      <c r="D79" s="28" t="s">
        <v>57</v>
      </c>
      <c r="E79" s="29">
        <v>82</v>
      </c>
      <c r="F79" s="29">
        <v>246</v>
      </c>
      <c r="G79" s="30">
        <v>34932</v>
      </c>
      <c r="H79" s="30">
        <v>1222.6199999999999</v>
      </c>
      <c r="I79" s="30">
        <v>21308.52</v>
      </c>
      <c r="J79" s="31">
        <v>34383.57</v>
      </c>
    </row>
    <row r="80" spans="1:10" ht="21" customHeight="1">
      <c r="A80" s="22">
        <v>45352</v>
      </c>
      <c r="B80" s="23" t="s">
        <v>40</v>
      </c>
      <c r="C80" s="23" t="s">
        <v>35</v>
      </c>
      <c r="D80" s="23" t="s">
        <v>58</v>
      </c>
      <c r="E80" s="24">
        <v>107</v>
      </c>
      <c r="F80" s="24">
        <v>321</v>
      </c>
      <c r="G80" s="25">
        <v>45582</v>
      </c>
      <c r="H80" s="25">
        <v>3190.74</v>
      </c>
      <c r="I80" s="25">
        <v>27805.02</v>
      </c>
      <c r="J80" s="26">
        <v>43239.09</v>
      </c>
    </row>
    <row r="81" spans="1:10" ht="21" customHeight="1">
      <c r="A81" s="27">
        <v>45383</v>
      </c>
      <c r="B81" s="28" t="s">
        <v>37</v>
      </c>
      <c r="C81" s="28" t="s">
        <v>33</v>
      </c>
      <c r="D81" s="28" t="s">
        <v>57</v>
      </c>
      <c r="E81" s="29">
        <v>46</v>
      </c>
      <c r="F81" s="29">
        <v>230</v>
      </c>
      <c r="G81" s="30">
        <v>8740</v>
      </c>
      <c r="H81" s="30">
        <v>305.89999999999998</v>
      </c>
      <c r="I81" s="30">
        <v>4632.2</v>
      </c>
      <c r="J81" s="31">
        <v>8602.7800000000007</v>
      </c>
    </row>
    <row r="82" spans="1:10" ht="21" customHeight="1">
      <c r="A82" s="22">
        <v>45383</v>
      </c>
      <c r="B82" s="23" t="s">
        <v>37</v>
      </c>
      <c r="C82" s="23" t="s">
        <v>33</v>
      </c>
      <c r="D82" s="23" t="s">
        <v>58</v>
      </c>
      <c r="E82" s="24">
        <v>62</v>
      </c>
      <c r="F82" s="24">
        <v>310</v>
      </c>
      <c r="G82" s="25">
        <v>11780</v>
      </c>
      <c r="H82" s="25">
        <v>824.6</v>
      </c>
      <c r="I82" s="25">
        <v>6243.4</v>
      </c>
      <c r="J82" s="26">
        <v>11174.51</v>
      </c>
    </row>
    <row r="83" spans="1:10" ht="21" customHeight="1">
      <c r="A83" s="27">
        <v>45383</v>
      </c>
      <c r="B83" s="28" t="s">
        <v>37</v>
      </c>
      <c r="C83" s="28" t="s">
        <v>34</v>
      </c>
      <c r="D83" s="28" t="s">
        <v>57</v>
      </c>
      <c r="E83" s="29">
        <v>54</v>
      </c>
      <c r="F83" s="29">
        <v>108</v>
      </c>
      <c r="G83" s="30">
        <v>21060</v>
      </c>
      <c r="H83" s="30">
        <v>1895.4</v>
      </c>
      <c r="I83" s="30">
        <v>14320.8</v>
      </c>
      <c r="J83" s="31">
        <v>19547.89</v>
      </c>
    </row>
    <row r="84" spans="1:10" ht="21" customHeight="1">
      <c r="A84" s="22">
        <v>45383</v>
      </c>
      <c r="B84" s="23" t="s">
        <v>37</v>
      </c>
      <c r="C84" s="23" t="s">
        <v>34</v>
      </c>
      <c r="D84" s="23" t="s">
        <v>58</v>
      </c>
      <c r="E84" s="24">
        <v>66</v>
      </c>
      <c r="F84" s="24">
        <v>132</v>
      </c>
      <c r="G84" s="25">
        <v>25740</v>
      </c>
      <c r="H84" s="25">
        <v>3217.5</v>
      </c>
      <c r="I84" s="25">
        <v>17503.2</v>
      </c>
      <c r="J84" s="26">
        <v>22972.95</v>
      </c>
    </row>
    <row r="85" spans="1:10" ht="21" customHeight="1">
      <c r="A85" s="27">
        <v>45383</v>
      </c>
      <c r="B85" s="28" t="s">
        <v>37</v>
      </c>
      <c r="C85" s="28" t="s">
        <v>35</v>
      </c>
      <c r="D85" s="28" t="s">
        <v>57</v>
      </c>
      <c r="E85" s="29">
        <v>62</v>
      </c>
      <c r="F85" s="29">
        <v>186</v>
      </c>
      <c r="G85" s="30">
        <v>26412</v>
      </c>
      <c r="H85" s="30">
        <v>924.42</v>
      </c>
      <c r="I85" s="30">
        <v>16111.32</v>
      </c>
      <c r="J85" s="31">
        <v>25997.33</v>
      </c>
    </row>
    <row r="86" spans="1:10" ht="21" customHeight="1">
      <c r="A86" s="22">
        <v>45383</v>
      </c>
      <c r="B86" s="23" t="s">
        <v>37</v>
      </c>
      <c r="C86" s="23" t="s">
        <v>35</v>
      </c>
      <c r="D86" s="23" t="s">
        <v>58</v>
      </c>
      <c r="E86" s="24">
        <v>74</v>
      </c>
      <c r="F86" s="24">
        <v>222</v>
      </c>
      <c r="G86" s="25">
        <v>31524</v>
      </c>
      <c r="H86" s="25">
        <v>2206.6799999999998</v>
      </c>
      <c r="I86" s="25">
        <v>19229.64</v>
      </c>
      <c r="J86" s="26">
        <v>29903.67</v>
      </c>
    </row>
    <row r="87" spans="1:10" ht="21" customHeight="1">
      <c r="A87" s="27">
        <v>45383</v>
      </c>
      <c r="B87" s="28" t="s">
        <v>38</v>
      </c>
      <c r="C87" s="28" t="s">
        <v>33</v>
      </c>
      <c r="D87" s="28" t="s">
        <v>57</v>
      </c>
      <c r="E87" s="29">
        <v>51</v>
      </c>
      <c r="F87" s="29">
        <v>255</v>
      </c>
      <c r="G87" s="30">
        <v>9690</v>
      </c>
      <c r="H87" s="30">
        <v>339.15</v>
      </c>
      <c r="I87" s="30">
        <v>5135.7</v>
      </c>
      <c r="J87" s="31">
        <v>9537.8700000000008</v>
      </c>
    </row>
    <row r="88" spans="1:10" ht="21" customHeight="1">
      <c r="A88" s="22">
        <v>45383</v>
      </c>
      <c r="B88" s="23" t="s">
        <v>38</v>
      </c>
      <c r="C88" s="23" t="s">
        <v>33</v>
      </c>
      <c r="D88" s="23" t="s">
        <v>58</v>
      </c>
      <c r="E88" s="24">
        <v>76</v>
      </c>
      <c r="F88" s="24">
        <v>380</v>
      </c>
      <c r="G88" s="25">
        <v>14440</v>
      </c>
      <c r="H88" s="25">
        <v>1010.8</v>
      </c>
      <c r="I88" s="25">
        <v>7653.2</v>
      </c>
      <c r="J88" s="26">
        <v>13697.78</v>
      </c>
    </row>
    <row r="89" spans="1:10" ht="21" customHeight="1">
      <c r="A89" s="27">
        <v>45383</v>
      </c>
      <c r="B89" s="28" t="s">
        <v>38</v>
      </c>
      <c r="C89" s="28" t="s">
        <v>34</v>
      </c>
      <c r="D89" s="28" t="s">
        <v>57</v>
      </c>
      <c r="E89" s="29">
        <v>64</v>
      </c>
      <c r="F89" s="29">
        <v>128</v>
      </c>
      <c r="G89" s="30">
        <v>24960</v>
      </c>
      <c r="H89" s="30">
        <v>2246.4</v>
      </c>
      <c r="I89" s="30">
        <v>16972.8</v>
      </c>
      <c r="J89" s="31">
        <v>23167.87</v>
      </c>
    </row>
    <row r="90" spans="1:10" ht="21" customHeight="1">
      <c r="A90" s="22">
        <v>45383</v>
      </c>
      <c r="B90" s="23" t="s">
        <v>38</v>
      </c>
      <c r="C90" s="23" t="s">
        <v>34</v>
      </c>
      <c r="D90" s="23" t="s">
        <v>58</v>
      </c>
      <c r="E90" s="24">
        <v>72</v>
      </c>
      <c r="F90" s="24">
        <v>144</v>
      </c>
      <c r="G90" s="25">
        <v>28080</v>
      </c>
      <c r="H90" s="25">
        <v>3510</v>
      </c>
      <c r="I90" s="25">
        <v>19094.400000000001</v>
      </c>
      <c r="J90" s="26">
        <v>25061.4</v>
      </c>
    </row>
    <row r="91" spans="1:10" ht="21" customHeight="1">
      <c r="A91" s="27">
        <v>45383</v>
      </c>
      <c r="B91" s="28" t="s">
        <v>38</v>
      </c>
      <c r="C91" s="28" t="s">
        <v>35</v>
      </c>
      <c r="D91" s="28" t="s">
        <v>57</v>
      </c>
      <c r="E91" s="29">
        <v>71</v>
      </c>
      <c r="F91" s="29">
        <v>213</v>
      </c>
      <c r="G91" s="30">
        <v>30246</v>
      </c>
      <c r="H91" s="30">
        <v>1058.6099999999999</v>
      </c>
      <c r="I91" s="30">
        <v>18450.060000000001</v>
      </c>
      <c r="J91" s="31">
        <v>29771.14</v>
      </c>
    </row>
    <row r="92" spans="1:10" ht="21" customHeight="1">
      <c r="A92" s="22">
        <v>45383</v>
      </c>
      <c r="B92" s="23" t="s">
        <v>38</v>
      </c>
      <c r="C92" s="23" t="s">
        <v>35</v>
      </c>
      <c r="D92" s="23" t="s">
        <v>58</v>
      </c>
      <c r="E92" s="24">
        <v>84</v>
      </c>
      <c r="F92" s="24">
        <v>252</v>
      </c>
      <c r="G92" s="25">
        <v>35784</v>
      </c>
      <c r="H92" s="25">
        <v>2504.88</v>
      </c>
      <c r="I92" s="25">
        <v>21828.240000000002</v>
      </c>
      <c r="J92" s="26">
        <v>33944.699999999997</v>
      </c>
    </row>
    <row r="93" spans="1:10" ht="21" customHeight="1">
      <c r="A93" s="27">
        <v>45383</v>
      </c>
      <c r="B93" s="28" t="s">
        <v>39</v>
      </c>
      <c r="C93" s="28" t="s">
        <v>33</v>
      </c>
      <c r="D93" s="28" t="s">
        <v>57</v>
      </c>
      <c r="E93" s="29">
        <v>57</v>
      </c>
      <c r="F93" s="29">
        <v>285</v>
      </c>
      <c r="G93" s="30">
        <v>10830</v>
      </c>
      <c r="H93" s="30">
        <v>379.05</v>
      </c>
      <c r="I93" s="30">
        <v>5739.9</v>
      </c>
      <c r="J93" s="31">
        <v>10659.97</v>
      </c>
    </row>
    <row r="94" spans="1:10" ht="21" customHeight="1">
      <c r="A94" s="22">
        <v>45383</v>
      </c>
      <c r="B94" s="23" t="s">
        <v>39</v>
      </c>
      <c r="C94" s="23" t="s">
        <v>33</v>
      </c>
      <c r="D94" s="23" t="s">
        <v>58</v>
      </c>
      <c r="E94" s="24">
        <v>82</v>
      </c>
      <c r="F94" s="24">
        <v>410</v>
      </c>
      <c r="G94" s="25">
        <v>15580</v>
      </c>
      <c r="H94" s="25">
        <v>1090.5999999999999</v>
      </c>
      <c r="I94" s="25">
        <v>8257.4</v>
      </c>
      <c r="J94" s="26">
        <v>14779.19</v>
      </c>
    </row>
    <row r="95" spans="1:10" ht="21" customHeight="1">
      <c r="A95" s="27">
        <v>45383</v>
      </c>
      <c r="B95" s="28" t="s">
        <v>39</v>
      </c>
      <c r="C95" s="28" t="s">
        <v>34</v>
      </c>
      <c r="D95" s="28" t="s">
        <v>57</v>
      </c>
      <c r="E95" s="29">
        <v>70</v>
      </c>
      <c r="F95" s="29">
        <v>140</v>
      </c>
      <c r="G95" s="30">
        <v>27300</v>
      </c>
      <c r="H95" s="30">
        <v>2457</v>
      </c>
      <c r="I95" s="30">
        <v>18564</v>
      </c>
      <c r="J95" s="31">
        <v>25339.86</v>
      </c>
    </row>
    <row r="96" spans="1:10" ht="21" customHeight="1">
      <c r="A96" s="22">
        <v>45383</v>
      </c>
      <c r="B96" s="23" t="s">
        <v>39</v>
      </c>
      <c r="C96" s="23" t="s">
        <v>34</v>
      </c>
      <c r="D96" s="23" t="s">
        <v>58</v>
      </c>
      <c r="E96" s="24">
        <v>87</v>
      </c>
      <c r="F96" s="24">
        <v>174</v>
      </c>
      <c r="G96" s="25">
        <v>33930</v>
      </c>
      <c r="H96" s="25">
        <v>4241.25</v>
      </c>
      <c r="I96" s="25">
        <v>23072.400000000001</v>
      </c>
      <c r="J96" s="26">
        <v>30282.53</v>
      </c>
    </row>
    <row r="97" spans="1:10" ht="21" customHeight="1">
      <c r="A97" s="27">
        <v>45383</v>
      </c>
      <c r="B97" s="28" t="s">
        <v>39</v>
      </c>
      <c r="C97" s="28" t="s">
        <v>35</v>
      </c>
      <c r="D97" s="28" t="s">
        <v>57</v>
      </c>
      <c r="E97" s="29">
        <v>79</v>
      </c>
      <c r="F97" s="29">
        <v>237</v>
      </c>
      <c r="G97" s="30">
        <v>33654</v>
      </c>
      <c r="H97" s="30">
        <v>1177.8900000000001</v>
      </c>
      <c r="I97" s="30">
        <v>20528.939999999999</v>
      </c>
      <c r="J97" s="31">
        <v>33125.629999999997</v>
      </c>
    </row>
    <row r="98" spans="1:10" ht="21" customHeight="1">
      <c r="A98" s="22">
        <v>45383</v>
      </c>
      <c r="B98" s="23" t="s">
        <v>39</v>
      </c>
      <c r="C98" s="23" t="s">
        <v>35</v>
      </c>
      <c r="D98" s="23" t="s">
        <v>58</v>
      </c>
      <c r="E98" s="24">
        <v>87</v>
      </c>
      <c r="F98" s="24">
        <v>261</v>
      </c>
      <c r="G98" s="25">
        <v>37062</v>
      </c>
      <c r="H98" s="25">
        <v>2594.34</v>
      </c>
      <c r="I98" s="25">
        <v>22607.82</v>
      </c>
      <c r="J98" s="26">
        <v>35157.01</v>
      </c>
    </row>
    <row r="99" spans="1:10" ht="21" customHeight="1">
      <c r="A99" s="27">
        <v>45383</v>
      </c>
      <c r="B99" s="28" t="s">
        <v>40</v>
      </c>
      <c r="C99" s="28" t="s">
        <v>33</v>
      </c>
      <c r="D99" s="28" t="s">
        <v>57</v>
      </c>
      <c r="E99" s="29">
        <v>68</v>
      </c>
      <c r="F99" s="29">
        <v>340</v>
      </c>
      <c r="G99" s="30">
        <v>12920</v>
      </c>
      <c r="H99" s="30">
        <v>452.2</v>
      </c>
      <c r="I99" s="30">
        <v>6847.6</v>
      </c>
      <c r="J99" s="31">
        <v>12717.16</v>
      </c>
    </row>
    <row r="100" spans="1:10" ht="21" customHeight="1">
      <c r="A100" s="22">
        <v>45383</v>
      </c>
      <c r="B100" s="23" t="s">
        <v>40</v>
      </c>
      <c r="C100" s="23" t="s">
        <v>33</v>
      </c>
      <c r="D100" s="23" t="s">
        <v>58</v>
      </c>
      <c r="E100" s="24">
        <v>84</v>
      </c>
      <c r="F100" s="24">
        <v>420</v>
      </c>
      <c r="G100" s="25">
        <v>15960</v>
      </c>
      <c r="H100" s="25">
        <v>1117.2</v>
      </c>
      <c r="I100" s="25">
        <v>8458.7999999999993</v>
      </c>
      <c r="J100" s="26">
        <v>15139.66</v>
      </c>
    </row>
    <row r="101" spans="1:10" ht="21" customHeight="1">
      <c r="A101" s="27">
        <v>45383</v>
      </c>
      <c r="B101" s="28" t="s">
        <v>40</v>
      </c>
      <c r="C101" s="28" t="s">
        <v>34</v>
      </c>
      <c r="D101" s="28" t="s">
        <v>57</v>
      </c>
      <c r="E101" s="29">
        <v>71</v>
      </c>
      <c r="F101" s="29">
        <v>142</v>
      </c>
      <c r="G101" s="30">
        <v>27690</v>
      </c>
      <c r="H101" s="30">
        <v>2492.1</v>
      </c>
      <c r="I101" s="30">
        <v>18829.2</v>
      </c>
      <c r="J101" s="31">
        <v>25701.86</v>
      </c>
    </row>
    <row r="102" spans="1:10" ht="21" customHeight="1">
      <c r="A102" s="22">
        <v>45383</v>
      </c>
      <c r="B102" s="23" t="s">
        <v>40</v>
      </c>
      <c r="C102" s="23" t="s">
        <v>34</v>
      </c>
      <c r="D102" s="23" t="s">
        <v>58</v>
      </c>
      <c r="E102" s="24">
        <v>97</v>
      </c>
      <c r="F102" s="24">
        <v>194</v>
      </c>
      <c r="G102" s="25">
        <v>37830</v>
      </c>
      <c r="H102" s="25">
        <v>4728.75</v>
      </c>
      <c r="I102" s="25">
        <v>25724.400000000001</v>
      </c>
      <c r="J102" s="26">
        <v>33763.279999999999</v>
      </c>
    </row>
    <row r="103" spans="1:10" ht="21" customHeight="1">
      <c r="A103" s="27">
        <v>45383</v>
      </c>
      <c r="B103" s="28" t="s">
        <v>40</v>
      </c>
      <c r="C103" s="28" t="s">
        <v>35</v>
      </c>
      <c r="D103" s="28" t="s">
        <v>57</v>
      </c>
      <c r="E103" s="29">
        <v>81</v>
      </c>
      <c r="F103" s="29">
        <v>243</v>
      </c>
      <c r="G103" s="30">
        <v>34506</v>
      </c>
      <c r="H103" s="30">
        <v>1207.71</v>
      </c>
      <c r="I103" s="30">
        <v>21048.66</v>
      </c>
      <c r="J103" s="31">
        <v>33964.26</v>
      </c>
    </row>
    <row r="104" spans="1:10" ht="21" customHeight="1">
      <c r="A104" s="22">
        <v>45383</v>
      </c>
      <c r="B104" s="23" t="s">
        <v>40</v>
      </c>
      <c r="C104" s="23" t="s">
        <v>35</v>
      </c>
      <c r="D104" s="23" t="s">
        <v>58</v>
      </c>
      <c r="E104" s="24">
        <v>93</v>
      </c>
      <c r="F104" s="24">
        <v>279</v>
      </c>
      <c r="G104" s="25">
        <v>39618</v>
      </c>
      <c r="H104" s="25">
        <v>2773.26</v>
      </c>
      <c r="I104" s="25">
        <v>24166.98</v>
      </c>
      <c r="J104" s="26">
        <v>37581.629999999997</v>
      </c>
    </row>
    <row r="105" spans="1:10" ht="21" customHeight="1">
      <c r="A105" s="27">
        <v>45413</v>
      </c>
      <c r="B105" s="28" t="s">
        <v>37</v>
      </c>
      <c r="C105" s="28" t="s">
        <v>33</v>
      </c>
      <c r="D105" s="28" t="s">
        <v>57</v>
      </c>
      <c r="E105" s="29">
        <v>48</v>
      </c>
      <c r="F105" s="29">
        <v>240</v>
      </c>
      <c r="G105" s="30">
        <v>9120</v>
      </c>
      <c r="H105" s="30">
        <v>319.2</v>
      </c>
      <c r="I105" s="30">
        <v>4833.6000000000004</v>
      </c>
      <c r="J105" s="31">
        <v>8976.82</v>
      </c>
    </row>
    <row r="106" spans="1:10" ht="21" customHeight="1">
      <c r="A106" s="22">
        <v>45413</v>
      </c>
      <c r="B106" s="23" t="s">
        <v>37</v>
      </c>
      <c r="C106" s="23" t="s">
        <v>33</v>
      </c>
      <c r="D106" s="23" t="s">
        <v>58</v>
      </c>
      <c r="E106" s="24">
        <v>71</v>
      </c>
      <c r="F106" s="24">
        <v>355</v>
      </c>
      <c r="G106" s="25">
        <v>13490</v>
      </c>
      <c r="H106" s="25">
        <v>944.3</v>
      </c>
      <c r="I106" s="25">
        <v>7149.7</v>
      </c>
      <c r="J106" s="26">
        <v>12796.61</v>
      </c>
    </row>
    <row r="107" spans="1:10" ht="21" customHeight="1">
      <c r="A107" s="27">
        <v>45413</v>
      </c>
      <c r="B107" s="28" t="s">
        <v>37</v>
      </c>
      <c r="C107" s="28" t="s">
        <v>34</v>
      </c>
      <c r="D107" s="28" t="s">
        <v>57</v>
      </c>
      <c r="E107" s="29">
        <v>55</v>
      </c>
      <c r="F107" s="29">
        <v>110</v>
      </c>
      <c r="G107" s="30">
        <v>21450</v>
      </c>
      <c r="H107" s="30">
        <v>1930.5</v>
      </c>
      <c r="I107" s="30">
        <v>14586</v>
      </c>
      <c r="J107" s="31">
        <v>19909.89</v>
      </c>
    </row>
    <row r="108" spans="1:10" ht="21" customHeight="1">
      <c r="A108" s="22">
        <v>45413</v>
      </c>
      <c r="B108" s="23" t="s">
        <v>37</v>
      </c>
      <c r="C108" s="23" t="s">
        <v>34</v>
      </c>
      <c r="D108" s="23" t="s">
        <v>58</v>
      </c>
      <c r="E108" s="24">
        <v>73</v>
      </c>
      <c r="F108" s="24">
        <v>146</v>
      </c>
      <c r="G108" s="25">
        <v>28470</v>
      </c>
      <c r="H108" s="25">
        <v>3558.75</v>
      </c>
      <c r="I108" s="25">
        <v>19359.599999999999</v>
      </c>
      <c r="J108" s="26">
        <v>25409.48</v>
      </c>
    </row>
    <row r="109" spans="1:10" ht="21" customHeight="1">
      <c r="A109" s="27">
        <v>45413</v>
      </c>
      <c r="B109" s="28" t="s">
        <v>37</v>
      </c>
      <c r="C109" s="28" t="s">
        <v>35</v>
      </c>
      <c r="D109" s="28" t="s">
        <v>57</v>
      </c>
      <c r="E109" s="29">
        <v>67</v>
      </c>
      <c r="F109" s="29">
        <v>201</v>
      </c>
      <c r="G109" s="30">
        <v>28542</v>
      </c>
      <c r="H109" s="30">
        <v>998.97</v>
      </c>
      <c r="I109" s="30">
        <v>17410.62</v>
      </c>
      <c r="J109" s="31">
        <v>28093.89</v>
      </c>
    </row>
    <row r="110" spans="1:10" ht="21" customHeight="1">
      <c r="A110" s="22">
        <v>45413</v>
      </c>
      <c r="B110" s="23" t="s">
        <v>37</v>
      </c>
      <c r="C110" s="23" t="s">
        <v>35</v>
      </c>
      <c r="D110" s="23" t="s">
        <v>58</v>
      </c>
      <c r="E110" s="24">
        <v>77</v>
      </c>
      <c r="F110" s="24">
        <v>231</v>
      </c>
      <c r="G110" s="25">
        <v>32802</v>
      </c>
      <c r="H110" s="25">
        <v>2296.14</v>
      </c>
      <c r="I110" s="25">
        <v>20009.22</v>
      </c>
      <c r="J110" s="26">
        <v>31115.98</v>
      </c>
    </row>
    <row r="111" spans="1:10" ht="21" customHeight="1">
      <c r="A111" s="27">
        <v>45413</v>
      </c>
      <c r="B111" s="28" t="s">
        <v>38</v>
      </c>
      <c r="C111" s="28" t="s">
        <v>33</v>
      </c>
      <c r="D111" s="28" t="s">
        <v>57</v>
      </c>
      <c r="E111" s="29">
        <v>54</v>
      </c>
      <c r="F111" s="29">
        <v>270</v>
      </c>
      <c r="G111" s="30">
        <v>10260</v>
      </c>
      <c r="H111" s="30">
        <v>359.1</v>
      </c>
      <c r="I111" s="30">
        <v>5437.8</v>
      </c>
      <c r="J111" s="31">
        <v>10098.92</v>
      </c>
    </row>
    <row r="112" spans="1:10" ht="21" customHeight="1">
      <c r="A112" s="22">
        <v>45413</v>
      </c>
      <c r="B112" s="23" t="s">
        <v>38</v>
      </c>
      <c r="C112" s="23" t="s">
        <v>33</v>
      </c>
      <c r="D112" s="23" t="s">
        <v>58</v>
      </c>
      <c r="E112" s="24">
        <v>76</v>
      </c>
      <c r="F112" s="24">
        <v>380</v>
      </c>
      <c r="G112" s="25">
        <v>14440</v>
      </c>
      <c r="H112" s="25">
        <v>1010.8</v>
      </c>
      <c r="I112" s="25">
        <v>7653.2</v>
      </c>
      <c r="J112" s="26">
        <v>13697.78</v>
      </c>
    </row>
    <row r="113" spans="1:10" ht="21" customHeight="1">
      <c r="A113" s="27">
        <v>45413</v>
      </c>
      <c r="B113" s="28" t="s">
        <v>38</v>
      </c>
      <c r="C113" s="28" t="s">
        <v>34</v>
      </c>
      <c r="D113" s="28" t="s">
        <v>57</v>
      </c>
      <c r="E113" s="29">
        <v>67</v>
      </c>
      <c r="F113" s="29">
        <v>134</v>
      </c>
      <c r="G113" s="30">
        <v>26130</v>
      </c>
      <c r="H113" s="30">
        <v>2351.6999999999998</v>
      </c>
      <c r="I113" s="30">
        <v>17768.400000000001</v>
      </c>
      <c r="J113" s="31">
        <v>24253.87</v>
      </c>
    </row>
    <row r="114" spans="1:10" ht="21" customHeight="1">
      <c r="A114" s="22">
        <v>45413</v>
      </c>
      <c r="B114" s="23" t="s">
        <v>38</v>
      </c>
      <c r="C114" s="23" t="s">
        <v>34</v>
      </c>
      <c r="D114" s="23" t="s">
        <v>58</v>
      </c>
      <c r="E114" s="24">
        <v>78</v>
      </c>
      <c r="F114" s="24">
        <v>156</v>
      </c>
      <c r="G114" s="25">
        <v>30420</v>
      </c>
      <c r="H114" s="25">
        <v>3802.5</v>
      </c>
      <c r="I114" s="25">
        <v>20685.599999999999</v>
      </c>
      <c r="J114" s="26">
        <v>27149.85</v>
      </c>
    </row>
    <row r="115" spans="1:10" ht="21" customHeight="1">
      <c r="A115" s="27">
        <v>45413</v>
      </c>
      <c r="B115" s="28" t="s">
        <v>38</v>
      </c>
      <c r="C115" s="28" t="s">
        <v>35</v>
      </c>
      <c r="D115" s="28" t="s">
        <v>57</v>
      </c>
      <c r="E115" s="29">
        <v>77</v>
      </c>
      <c r="F115" s="29">
        <v>231</v>
      </c>
      <c r="G115" s="30">
        <v>32802</v>
      </c>
      <c r="H115" s="30">
        <v>1148.07</v>
      </c>
      <c r="I115" s="30">
        <v>20009.22</v>
      </c>
      <c r="J115" s="31">
        <v>32287.01</v>
      </c>
    </row>
    <row r="116" spans="1:10" ht="21" customHeight="1">
      <c r="A116" s="22">
        <v>45413</v>
      </c>
      <c r="B116" s="23" t="s">
        <v>38</v>
      </c>
      <c r="C116" s="23" t="s">
        <v>35</v>
      </c>
      <c r="D116" s="23" t="s">
        <v>58</v>
      </c>
      <c r="E116" s="24">
        <v>91</v>
      </c>
      <c r="F116" s="24">
        <v>273</v>
      </c>
      <c r="G116" s="25">
        <v>38766</v>
      </c>
      <c r="H116" s="25">
        <v>2713.62</v>
      </c>
      <c r="I116" s="25">
        <v>23647.26</v>
      </c>
      <c r="J116" s="26">
        <v>36773.43</v>
      </c>
    </row>
    <row r="117" spans="1:10" ht="21" customHeight="1">
      <c r="A117" s="27">
        <v>45413</v>
      </c>
      <c r="B117" s="28" t="s">
        <v>39</v>
      </c>
      <c r="C117" s="28" t="s">
        <v>33</v>
      </c>
      <c r="D117" s="28" t="s">
        <v>57</v>
      </c>
      <c r="E117" s="29">
        <v>61</v>
      </c>
      <c r="F117" s="29">
        <v>305</v>
      </c>
      <c r="G117" s="30">
        <v>11590</v>
      </c>
      <c r="H117" s="30">
        <v>405.65</v>
      </c>
      <c r="I117" s="30">
        <v>6142.7</v>
      </c>
      <c r="J117" s="31">
        <v>11408.04</v>
      </c>
    </row>
    <row r="118" spans="1:10" ht="21" customHeight="1">
      <c r="A118" s="22">
        <v>45413</v>
      </c>
      <c r="B118" s="23" t="s">
        <v>39</v>
      </c>
      <c r="C118" s="23" t="s">
        <v>33</v>
      </c>
      <c r="D118" s="23" t="s">
        <v>58</v>
      </c>
      <c r="E118" s="24">
        <v>88</v>
      </c>
      <c r="F118" s="24">
        <v>440</v>
      </c>
      <c r="G118" s="25">
        <v>16720</v>
      </c>
      <c r="H118" s="25">
        <v>1170.4000000000001</v>
      </c>
      <c r="I118" s="25">
        <v>8861.6</v>
      </c>
      <c r="J118" s="26">
        <v>15860.59</v>
      </c>
    </row>
    <row r="119" spans="1:10" ht="21" customHeight="1">
      <c r="A119" s="27">
        <v>45413</v>
      </c>
      <c r="B119" s="28" t="s">
        <v>39</v>
      </c>
      <c r="C119" s="28" t="s">
        <v>34</v>
      </c>
      <c r="D119" s="28" t="s">
        <v>57</v>
      </c>
      <c r="E119" s="29">
        <v>76</v>
      </c>
      <c r="F119" s="29">
        <v>152</v>
      </c>
      <c r="G119" s="30">
        <v>29640</v>
      </c>
      <c r="H119" s="30">
        <v>2667.6</v>
      </c>
      <c r="I119" s="30">
        <v>20155.2</v>
      </c>
      <c r="J119" s="31">
        <v>27511.85</v>
      </c>
    </row>
    <row r="120" spans="1:10" ht="21" customHeight="1">
      <c r="A120" s="22">
        <v>45413</v>
      </c>
      <c r="B120" s="23" t="s">
        <v>39</v>
      </c>
      <c r="C120" s="23" t="s">
        <v>34</v>
      </c>
      <c r="D120" s="23" t="s">
        <v>58</v>
      </c>
      <c r="E120" s="24">
        <v>98</v>
      </c>
      <c r="F120" s="24">
        <v>196</v>
      </c>
      <c r="G120" s="25">
        <v>38220</v>
      </c>
      <c r="H120" s="25">
        <v>4777.5</v>
      </c>
      <c r="I120" s="25">
        <v>25989.599999999999</v>
      </c>
      <c r="J120" s="26">
        <v>34111.35</v>
      </c>
    </row>
    <row r="121" spans="1:10" ht="21" customHeight="1">
      <c r="A121" s="27">
        <v>45413</v>
      </c>
      <c r="B121" s="28" t="s">
        <v>39</v>
      </c>
      <c r="C121" s="28" t="s">
        <v>35</v>
      </c>
      <c r="D121" s="28" t="s">
        <v>57</v>
      </c>
      <c r="E121" s="29">
        <v>76</v>
      </c>
      <c r="F121" s="29">
        <v>228</v>
      </c>
      <c r="G121" s="30">
        <v>32376</v>
      </c>
      <c r="H121" s="30">
        <v>1133.1600000000001</v>
      </c>
      <c r="I121" s="30">
        <v>19749.36</v>
      </c>
      <c r="J121" s="31">
        <v>31867.7</v>
      </c>
    </row>
    <row r="122" spans="1:10" ht="21" customHeight="1">
      <c r="A122" s="22">
        <v>45413</v>
      </c>
      <c r="B122" s="23" t="s">
        <v>39</v>
      </c>
      <c r="C122" s="23" t="s">
        <v>35</v>
      </c>
      <c r="D122" s="23" t="s">
        <v>58</v>
      </c>
      <c r="E122" s="24">
        <v>98</v>
      </c>
      <c r="F122" s="24">
        <v>294</v>
      </c>
      <c r="G122" s="25">
        <v>41748</v>
      </c>
      <c r="H122" s="25">
        <v>2922.36</v>
      </c>
      <c r="I122" s="25">
        <v>25466.28</v>
      </c>
      <c r="J122" s="26">
        <v>39602.15</v>
      </c>
    </row>
    <row r="123" spans="1:10" ht="21" customHeight="1">
      <c r="A123" s="27">
        <v>45413</v>
      </c>
      <c r="B123" s="28" t="s">
        <v>40</v>
      </c>
      <c r="C123" s="28" t="s">
        <v>33</v>
      </c>
      <c r="D123" s="28" t="s">
        <v>57</v>
      </c>
      <c r="E123" s="29">
        <v>72</v>
      </c>
      <c r="F123" s="29">
        <v>360</v>
      </c>
      <c r="G123" s="30">
        <v>13680</v>
      </c>
      <c r="H123" s="30">
        <v>478.8</v>
      </c>
      <c r="I123" s="30">
        <v>7250.4</v>
      </c>
      <c r="J123" s="31">
        <v>13465.22</v>
      </c>
    </row>
    <row r="124" spans="1:10" ht="21" customHeight="1">
      <c r="A124" s="22">
        <v>45413</v>
      </c>
      <c r="B124" s="23" t="s">
        <v>40</v>
      </c>
      <c r="C124" s="23" t="s">
        <v>33</v>
      </c>
      <c r="D124" s="23" t="s">
        <v>58</v>
      </c>
      <c r="E124" s="24">
        <v>99</v>
      </c>
      <c r="F124" s="24">
        <v>495</v>
      </c>
      <c r="G124" s="25">
        <v>18810</v>
      </c>
      <c r="H124" s="25">
        <v>1316.7</v>
      </c>
      <c r="I124" s="25">
        <v>9969.2999999999993</v>
      </c>
      <c r="J124" s="26">
        <v>17843.169999999998</v>
      </c>
    </row>
    <row r="125" spans="1:10" ht="21" customHeight="1">
      <c r="A125" s="27">
        <v>45413</v>
      </c>
      <c r="B125" s="28" t="s">
        <v>40</v>
      </c>
      <c r="C125" s="28" t="s">
        <v>34</v>
      </c>
      <c r="D125" s="28" t="s">
        <v>57</v>
      </c>
      <c r="E125" s="29">
        <v>83</v>
      </c>
      <c r="F125" s="29">
        <v>166</v>
      </c>
      <c r="G125" s="30">
        <v>32370</v>
      </c>
      <c r="H125" s="30">
        <v>2913.3</v>
      </c>
      <c r="I125" s="30">
        <v>22011.599999999999</v>
      </c>
      <c r="J125" s="31">
        <v>30045.83</v>
      </c>
    </row>
    <row r="126" spans="1:10" ht="21" customHeight="1">
      <c r="A126" s="22">
        <v>45413</v>
      </c>
      <c r="B126" s="23" t="s">
        <v>40</v>
      </c>
      <c r="C126" s="23" t="s">
        <v>34</v>
      </c>
      <c r="D126" s="23" t="s">
        <v>58</v>
      </c>
      <c r="E126" s="24">
        <v>102</v>
      </c>
      <c r="F126" s="24">
        <v>204</v>
      </c>
      <c r="G126" s="25">
        <v>39780</v>
      </c>
      <c r="H126" s="25">
        <v>4972.5</v>
      </c>
      <c r="I126" s="25">
        <v>27050.400000000001</v>
      </c>
      <c r="J126" s="26">
        <v>35503.65</v>
      </c>
    </row>
    <row r="127" spans="1:10" ht="21" customHeight="1">
      <c r="A127" s="27">
        <v>45413</v>
      </c>
      <c r="B127" s="28" t="s">
        <v>40</v>
      </c>
      <c r="C127" s="28" t="s">
        <v>35</v>
      </c>
      <c r="D127" s="28" t="s">
        <v>57</v>
      </c>
      <c r="E127" s="29">
        <v>84</v>
      </c>
      <c r="F127" s="29">
        <v>252</v>
      </c>
      <c r="G127" s="30">
        <v>35784</v>
      </c>
      <c r="H127" s="30">
        <v>1252.44</v>
      </c>
      <c r="I127" s="30">
        <v>21828.240000000002</v>
      </c>
      <c r="J127" s="31">
        <v>35222.19</v>
      </c>
    </row>
    <row r="128" spans="1:10" ht="21" customHeight="1">
      <c r="A128" s="22">
        <v>45413</v>
      </c>
      <c r="B128" s="23" t="s">
        <v>40</v>
      </c>
      <c r="C128" s="23" t="s">
        <v>35</v>
      </c>
      <c r="D128" s="23" t="s">
        <v>58</v>
      </c>
      <c r="E128" s="24">
        <v>104</v>
      </c>
      <c r="F128" s="24">
        <v>312</v>
      </c>
      <c r="G128" s="25">
        <v>44304</v>
      </c>
      <c r="H128" s="25">
        <v>3101.28</v>
      </c>
      <c r="I128" s="25">
        <v>27025.439999999999</v>
      </c>
      <c r="J128" s="26">
        <v>42026.77</v>
      </c>
    </row>
    <row r="129" spans="1:10" ht="21" customHeight="1">
      <c r="A129" s="27">
        <v>45444</v>
      </c>
      <c r="B129" s="28" t="s">
        <v>37</v>
      </c>
      <c r="C129" s="28" t="s">
        <v>33</v>
      </c>
      <c r="D129" s="28" t="s">
        <v>57</v>
      </c>
      <c r="E129" s="29">
        <v>53</v>
      </c>
      <c r="F129" s="29">
        <v>265</v>
      </c>
      <c r="G129" s="30">
        <v>10070</v>
      </c>
      <c r="H129" s="30">
        <v>352.45</v>
      </c>
      <c r="I129" s="30">
        <v>5337.1</v>
      </c>
      <c r="J129" s="31">
        <v>9911.9</v>
      </c>
    </row>
    <row r="130" spans="1:10" ht="21" customHeight="1">
      <c r="A130" s="22">
        <v>45444</v>
      </c>
      <c r="B130" s="23" t="s">
        <v>37</v>
      </c>
      <c r="C130" s="23" t="s">
        <v>33</v>
      </c>
      <c r="D130" s="23" t="s">
        <v>58</v>
      </c>
      <c r="E130" s="24">
        <v>69</v>
      </c>
      <c r="F130" s="24">
        <v>345</v>
      </c>
      <c r="G130" s="25">
        <v>13110</v>
      </c>
      <c r="H130" s="25">
        <v>917.7</v>
      </c>
      <c r="I130" s="25">
        <v>6948.3</v>
      </c>
      <c r="J130" s="26">
        <v>12436.15</v>
      </c>
    </row>
    <row r="131" spans="1:10" ht="21" customHeight="1">
      <c r="A131" s="27">
        <v>45444</v>
      </c>
      <c r="B131" s="28" t="s">
        <v>37</v>
      </c>
      <c r="C131" s="28" t="s">
        <v>34</v>
      </c>
      <c r="D131" s="28" t="s">
        <v>57</v>
      </c>
      <c r="E131" s="29">
        <v>56</v>
      </c>
      <c r="F131" s="29">
        <v>112</v>
      </c>
      <c r="G131" s="30">
        <v>21840</v>
      </c>
      <c r="H131" s="30">
        <v>1965.6</v>
      </c>
      <c r="I131" s="30">
        <v>14851.2</v>
      </c>
      <c r="J131" s="31">
        <v>20271.89</v>
      </c>
    </row>
    <row r="132" spans="1:10" ht="21" customHeight="1">
      <c r="A132" s="22">
        <v>45444</v>
      </c>
      <c r="B132" s="23" t="s">
        <v>37</v>
      </c>
      <c r="C132" s="23" t="s">
        <v>34</v>
      </c>
      <c r="D132" s="23" t="s">
        <v>58</v>
      </c>
      <c r="E132" s="24">
        <v>73</v>
      </c>
      <c r="F132" s="24">
        <v>146</v>
      </c>
      <c r="G132" s="25">
        <v>28470</v>
      </c>
      <c r="H132" s="25">
        <v>3558.75</v>
      </c>
      <c r="I132" s="25">
        <v>19359.599999999999</v>
      </c>
      <c r="J132" s="26">
        <v>25409.48</v>
      </c>
    </row>
    <row r="133" spans="1:10" ht="21" customHeight="1">
      <c r="A133" s="27">
        <v>45444</v>
      </c>
      <c r="B133" s="28" t="s">
        <v>37</v>
      </c>
      <c r="C133" s="28" t="s">
        <v>35</v>
      </c>
      <c r="D133" s="28" t="s">
        <v>57</v>
      </c>
      <c r="E133" s="29">
        <v>62</v>
      </c>
      <c r="F133" s="29">
        <v>186</v>
      </c>
      <c r="G133" s="30">
        <v>26412</v>
      </c>
      <c r="H133" s="30">
        <v>924.42</v>
      </c>
      <c r="I133" s="30">
        <v>16111.32</v>
      </c>
      <c r="J133" s="31">
        <v>25997.33</v>
      </c>
    </row>
    <row r="134" spans="1:10" ht="21" customHeight="1">
      <c r="A134" s="22">
        <v>45444</v>
      </c>
      <c r="B134" s="23" t="s">
        <v>37</v>
      </c>
      <c r="C134" s="23" t="s">
        <v>35</v>
      </c>
      <c r="D134" s="23" t="s">
        <v>58</v>
      </c>
      <c r="E134" s="24">
        <v>88</v>
      </c>
      <c r="F134" s="24">
        <v>264</v>
      </c>
      <c r="G134" s="25">
        <v>37488</v>
      </c>
      <c r="H134" s="25">
        <v>2624.16</v>
      </c>
      <c r="I134" s="25">
        <v>22867.68</v>
      </c>
      <c r="J134" s="26">
        <v>35561.120000000003</v>
      </c>
    </row>
    <row r="135" spans="1:10" ht="21" customHeight="1">
      <c r="A135" s="27">
        <v>45444</v>
      </c>
      <c r="B135" s="28" t="s">
        <v>38</v>
      </c>
      <c r="C135" s="28" t="s">
        <v>33</v>
      </c>
      <c r="D135" s="28" t="s">
        <v>57</v>
      </c>
      <c r="E135" s="29">
        <v>61</v>
      </c>
      <c r="F135" s="29">
        <v>305</v>
      </c>
      <c r="G135" s="30">
        <v>11590</v>
      </c>
      <c r="H135" s="30">
        <v>405.65</v>
      </c>
      <c r="I135" s="30">
        <v>6142.7</v>
      </c>
      <c r="J135" s="31">
        <v>11408.04</v>
      </c>
    </row>
    <row r="136" spans="1:10" ht="21" customHeight="1">
      <c r="A136" s="22">
        <v>45444</v>
      </c>
      <c r="B136" s="23" t="s">
        <v>38</v>
      </c>
      <c r="C136" s="23" t="s">
        <v>33</v>
      </c>
      <c r="D136" s="23" t="s">
        <v>58</v>
      </c>
      <c r="E136" s="24">
        <v>82</v>
      </c>
      <c r="F136" s="24">
        <v>410</v>
      </c>
      <c r="G136" s="25">
        <v>15580</v>
      </c>
      <c r="H136" s="25">
        <v>1090.5999999999999</v>
      </c>
      <c r="I136" s="25">
        <v>8257.4</v>
      </c>
      <c r="J136" s="26">
        <v>14779.19</v>
      </c>
    </row>
    <row r="137" spans="1:10" ht="21" customHeight="1">
      <c r="A137" s="27">
        <v>45444</v>
      </c>
      <c r="B137" s="28" t="s">
        <v>38</v>
      </c>
      <c r="C137" s="28" t="s">
        <v>34</v>
      </c>
      <c r="D137" s="28" t="s">
        <v>57</v>
      </c>
      <c r="E137" s="29">
        <v>67</v>
      </c>
      <c r="F137" s="29">
        <v>134</v>
      </c>
      <c r="G137" s="30">
        <v>26130</v>
      </c>
      <c r="H137" s="30">
        <v>2351.6999999999998</v>
      </c>
      <c r="I137" s="30">
        <v>17768.400000000001</v>
      </c>
      <c r="J137" s="31">
        <v>24253.87</v>
      </c>
    </row>
    <row r="138" spans="1:10" ht="21" customHeight="1">
      <c r="A138" s="22">
        <v>45444</v>
      </c>
      <c r="B138" s="23" t="s">
        <v>38</v>
      </c>
      <c r="C138" s="23" t="s">
        <v>34</v>
      </c>
      <c r="D138" s="23" t="s">
        <v>58</v>
      </c>
      <c r="E138" s="24">
        <v>81</v>
      </c>
      <c r="F138" s="24">
        <v>162</v>
      </c>
      <c r="G138" s="25">
        <v>31590</v>
      </c>
      <c r="H138" s="25">
        <v>3948.75</v>
      </c>
      <c r="I138" s="25">
        <v>21481.200000000001</v>
      </c>
      <c r="J138" s="26">
        <v>28194.080000000002</v>
      </c>
    </row>
    <row r="139" spans="1:10" ht="21" customHeight="1">
      <c r="A139" s="27">
        <v>45444</v>
      </c>
      <c r="B139" s="28" t="s">
        <v>38</v>
      </c>
      <c r="C139" s="28" t="s">
        <v>35</v>
      </c>
      <c r="D139" s="28" t="s">
        <v>57</v>
      </c>
      <c r="E139" s="29">
        <v>73</v>
      </c>
      <c r="F139" s="29">
        <v>219</v>
      </c>
      <c r="G139" s="30">
        <v>31098</v>
      </c>
      <c r="H139" s="30">
        <v>1088.43</v>
      </c>
      <c r="I139" s="30">
        <v>18969.78</v>
      </c>
      <c r="J139" s="31">
        <v>30609.759999999998</v>
      </c>
    </row>
    <row r="140" spans="1:10" ht="21" customHeight="1">
      <c r="A140" s="22">
        <v>45444</v>
      </c>
      <c r="B140" s="23" t="s">
        <v>38</v>
      </c>
      <c r="C140" s="23" t="s">
        <v>35</v>
      </c>
      <c r="D140" s="23" t="s">
        <v>58</v>
      </c>
      <c r="E140" s="24">
        <v>89</v>
      </c>
      <c r="F140" s="24">
        <v>267</v>
      </c>
      <c r="G140" s="25">
        <v>37914</v>
      </c>
      <c r="H140" s="25">
        <v>2653.98</v>
      </c>
      <c r="I140" s="25">
        <v>23127.54</v>
      </c>
      <c r="J140" s="26">
        <v>35965.22</v>
      </c>
    </row>
    <row r="141" spans="1:10" ht="21" customHeight="1">
      <c r="A141" s="27">
        <v>45444</v>
      </c>
      <c r="B141" s="28" t="s">
        <v>39</v>
      </c>
      <c r="C141" s="28" t="s">
        <v>33</v>
      </c>
      <c r="D141" s="28" t="s">
        <v>57</v>
      </c>
      <c r="E141" s="29">
        <v>70</v>
      </c>
      <c r="F141" s="29">
        <v>350</v>
      </c>
      <c r="G141" s="30">
        <v>13300</v>
      </c>
      <c r="H141" s="30">
        <v>465.5</v>
      </c>
      <c r="I141" s="30">
        <v>7049</v>
      </c>
      <c r="J141" s="31">
        <v>13091.19</v>
      </c>
    </row>
    <row r="142" spans="1:10" ht="21" customHeight="1">
      <c r="A142" s="22">
        <v>45444</v>
      </c>
      <c r="B142" s="23" t="s">
        <v>39</v>
      </c>
      <c r="C142" s="23" t="s">
        <v>33</v>
      </c>
      <c r="D142" s="23" t="s">
        <v>58</v>
      </c>
      <c r="E142" s="24">
        <v>87</v>
      </c>
      <c r="F142" s="24">
        <v>435</v>
      </c>
      <c r="G142" s="25">
        <v>16530</v>
      </c>
      <c r="H142" s="25">
        <v>1157.0999999999999</v>
      </c>
      <c r="I142" s="25">
        <v>8760.9</v>
      </c>
      <c r="J142" s="26">
        <v>15680.36</v>
      </c>
    </row>
    <row r="143" spans="1:10" ht="21" customHeight="1">
      <c r="A143" s="27">
        <v>45444</v>
      </c>
      <c r="B143" s="28" t="s">
        <v>39</v>
      </c>
      <c r="C143" s="28" t="s">
        <v>34</v>
      </c>
      <c r="D143" s="28" t="s">
        <v>57</v>
      </c>
      <c r="E143" s="29">
        <v>81</v>
      </c>
      <c r="F143" s="29">
        <v>162</v>
      </c>
      <c r="G143" s="30">
        <v>31590</v>
      </c>
      <c r="H143" s="30">
        <v>2843.1</v>
      </c>
      <c r="I143" s="30">
        <v>21481.200000000001</v>
      </c>
      <c r="J143" s="31">
        <v>29321.84</v>
      </c>
    </row>
    <row r="144" spans="1:10" ht="21" customHeight="1">
      <c r="A144" s="22">
        <v>45444</v>
      </c>
      <c r="B144" s="23" t="s">
        <v>39</v>
      </c>
      <c r="C144" s="23" t="s">
        <v>34</v>
      </c>
      <c r="D144" s="23" t="s">
        <v>58</v>
      </c>
      <c r="E144" s="24">
        <v>94</v>
      </c>
      <c r="F144" s="24">
        <v>188</v>
      </c>
      <c r="G144" s="25">
        <v>36660</v>
      </c>
      <c r="H144" s="25">
        <v>4582.5</v>
      </c>
      <c r="I144" s="25">
        <v>24928.799999999999</v>
      </c>
      <c r="J144" s="26">
        <v>32719.05</v>
      </c>
    </row>
    <row r="145" spans="1:10" ht="21" customHeight="1">
      <c r="A145" s="27">
        <v>45444</v>
      </c>
      <c r="B145" s="28" t="s">
        <v>39</v>
      </c>
      <c r="C145" s="28" t="s">
        <v>35</v>
      </c>
      <c r="D145" s="28" t="s">
        <v>57</v>
      </c>
      <c r="E145" s="29">
        <v>80</v>
      </c>
      <c r="F145" s="29">
        <v>240</v>
      </c>
      <c r="G145" s="30">
        <v>34080</v>
      </c>
      <c r="H145" s="30">
        <v>1192.8</v>
      </c>
      <c r="I145" s="30">
        <v>20788.8</v>
      </c>
      <c r="J145" s="31">
        <v>33544.94</v>
      </c>
    </row>
    <row r="146" spans="1:10" ht="21" customHeight="1">
      <c r="A146" s="22">
        <v>45444</v>
      </c>
      <c r="B146" s="23" t="s">
        <v>39</v>
      </c>
      <c r="C146" s="23" t="s">
        <v>35</v>
      </c>
      <c r="D146" s="23" t="s">
        <v>58</v>
      </c>
      <c r="E146" s="24">
        <v>110</v>
      </c>
      <c r="F146" s="24">
        <v>330</v>
      </c>
      <c r="G146" s="25">
        <v>46860</v>
      </c>
      <c r="H146" s="25">
        <v>3280.2</v>
      </c>
      <c r="I146" s="25">
        <v>28584.6</v>
      </c>
      <c r="J146" s="26">
        <v>44451.4</v>
      </c>
    </row>
    <row r="147" spans="1:10" ht="21" customHeight="1">
      <c r="A147" s="27">
        <v>45444</v>
      </c>
      <c r="B147" s="28" t="s">
        <v>40</v>
      </c>
      <c r="C147" s="28" t="s">
        <v>33</v>
      </c>
      <c r="D147" s="28" t="s">
        <v>57</v>
      </c>
      <c r="E147" s="29">
        <v>75</v>
      </c>
      <c r="F147" s="29">
        <v>375</v>
      </c>
      <c r="G147" s="30">
        <v>14250</v>
      </c>
      <c r="H147" s="30">
        <v>498.75</v>
      </c>
      <c r="I147" s="30">
        <v>7552.5</v>
      </c>
      <c r="J147" s="31">
        <v>14026.28</v>
      </c>
    </row>
    <row r="148" spans="1:10" ht="21" customHeight="1">
      <c r="A148" s="22">
        <v>45444</v>
      </c>
      <c r="B148" s="23" t="s">
        <v>40</v>
      </c>
      <c r="C148" s="23" t="s">
        <v>33</v>
      </c>
      <c r="D148" s="23" t="s">
        <v>58</v>
      </c>
      <c r="E148" s="24">
        <v>90</v>
      </c>
      <c r="F148" s="24">
        <v>450</v>
      </c>
      <c r="G148" s="25">
        <v>17100</v>
      </c>
      <c r="H148" s="25">
        <v>1197</v>
      </c>
      <c r="I148" s="25">
        <v>9063</v>
      </c>
      <c r="J148" s="26">
        <v>16221.06</v>
      </c>
    </row>
    <row r="149" spans="1:10" ht="21" customHeight="1">
      <c r="A149" s="27">
        <v>45444</v>
      </c>
      <c r="B149" s="28" t="s">
        <v>40</v>
      </c>
      <c r="C149" s="28" t="s">
        <v>34</v>
      </c>
      <c r="D149" s="28" t="s">
        <v>57</v>
      </c>
      <c r="E149" s="29">
        <v>83</v>
      </c>
      <c r="F149" s="29">
        <v>166</v>
      </c>
      <c r="G149" s="30">
        <v>32370</v>
      </c>
      <c r="H149" s="30">
        <v>2913.3</v>
      </c>
      <c r="I149" s="30">
        <v>22011.599999999999</v>
      </c>
      <c r="J149" s="31">
        <v>30045.83</v>
      </c>
    </row>
    <row r="150" spans="1:10" ht="21" customHeight="1">
      <c r="A150" s="22">
        <v>45444</v>
      </c>
      <c r="B150" s="23" t="s">
        <v>40</v>
      </c>
      <c r="C150" s="23" t="s">
        <v>34</v>
      </c>
      <c r="D150" s="23" t="s">
        <v>58</v>
      </c>
      <c r="E150" s="24">
        <v>100</v>
      </c>
      <c r="F150" s="24">
        <v>200</v>
      </c>
      <c r="G150" s="25">
        <v>39000</v>
      </c>
      <c r="H150" s="25">
        <v>4875</v>
      </c>
      <c r="I150" s="25">
        <v>26520</v>
      </c>
      <c r="J150" s="26">
        <v>34807.5</v>
      </c>
    </row>
    <row r="151" spans="1:10" ht="21" customHeight="1">
      <c r="A151" s="27">
        <v>45444</v>
      </c>
      <c r="B151" s="28" t="s">
        <v>40</v>
      </c>
      <c r="C151" s="28" t="s">
        <v>35</v>
      </c>
      <c r="D151" s="28" t="s">
        <v>57</v>
      </c>
      <c r="E151" s="29">
        <v>100</v>
      </c>
      <c r="F151" s="29">
        <v>300</v>
      </c>
      <c r="G151" s="30">
        <v>42600</v>
      </c>
      <c r="H151" s="30">
        <v>1491</v>
      </c>
      <c r="I151" s="30">
        <v>25986</v>
      </c>
      <c r="J151" s="31">
        <v>41931.18</v>
      </c>
    </row>
    <row r="152" spans="1:10" ht="21" customHeight="1">
      <c r="A152" s="22">
        <v>45444</v>
      </c>
      <c r="B152" s="23" t="s">
        <v>40</v>
      </c>
      <c r="C152" s="23" t="s">
        <v>35</v>
      </c>
      <c r="D152" s="23" t="s">
        <v>58</v>
      </c>
      <c r="E152" s="24">
        <v>109</v>
      </c>
      <c r="F152" s="24">
        <v>327</v>
      </c>
      <c r="G152" s="25">
        <v>46434</v>
      </c>
      <c r="H152" s="25">
        <v>3250.38</v>
      </c>
      <c r="I152" s="25">
        <v>28324.74</v>
      </c>
      <c r="J152" s="26">
        <v>44047.29</v>
      </c>
    </row>
    <row r="153" spans="1:10" ht="21" customHeight="1">
      <c r="A153" s="27">
        <v>45474</v>
      </c>
      <c r="B153" s="28" t="s">
        <v>37</v>
      </c>
      <c r="C153" s="28" t="s">
        <v>33</v>
      </c>
      <c r="D153" s="28" t="s">
        <v>57</v>
      </c>
      <c r="E153" s="29">
        <v>43</v>
      </c>
      <c r="F153" s="29">
        <v>215</v>
      </c>
      <c r="G153" s="30">
        <v>8170</v>
      </c>
      <c r="H153" s="30">
        <v>285.95</v>
      </c>
      <c r="I153" s="30">
        <v>4330.1000000000004</v>
      </c>
      <c r="J153" s="31">
        <v>8041.73</v>
      </c>
    </row>
    <row r="154" spans="1:10" ht="21" customHeight="1">
      <c r="A154" s="22">
        <v>45474</v>
      </c>
      <c r="B154" s="23" t="s">
        <v>37</v>
      </c>
      <c r="C154" s="23" t="s">
        <v>33</v>
      </c>
      <c r="D154" s="23" t="s">
        <v>58</v>
      </c>
      <c r="E154" s="24">
        <v>62</v>
      </c>
      <c r="F154" s="24">
        <v>310</v>
      </c>
      <c r="G154" s="25">
        <v>11780</v>
      </c>
      <c r="H154" s="25">
        <v>824.6</v>
      </c>
      <c r="I154" s="25">
        <v>6243.4</v>
      </c>
      <c r="J154" s="26">
        <v>11174.51</v>
      </c>
    </row>
    <row r="155" spans="1:10" ht="21" customHeight="1">
      <c r="A155" s="27">
        <v>45474</v>
      </c>
      <c r="B155" s="28" t="s">
        <v>37</v>
      </c>
      <c r="C155" s="28" t="s">
        <v>34</v>
      </c>
      <c r="D155" s="28" t="s">
        <v>57</v>
      </c>
      <c r="E155" s="29">
        <v>57</v>
      </c>
      <c r="F155" s="29">
        <v>114</v>
      </c>
      <c r="G155" s="30">
        <v>22230</v>
      </c>
      <c r="H155" s="30">
        <v>2000.7</v>
      </c>
      <c r="I155" s="30">
        <v>15116.4</v>
      </c>
      <c r="J155" s="31">
        <v>20633.89</v>
      </c>
    </row>
    <row r="156" spans="1:10" ht="21" customHeight="1">
      <c r="A156" s="22">
        <v>45474</v>
      </c>
      <c r="B156" s="23" t="s">
        <v>37</v>
      </c>
      <c r="C156" s="23" t="s">
        <v>34</v>
      </c>
      <c r="D156" s="23" t="s">
        <v>58</v>
      </c>
      <c r="E156" s="24">
        <v>73</v>
      </c>
      <c r="F156" s="24">
        <v>146</v>
      </c>
      <c r="G156" s="25">
        <v>28470</v>
      </c>
      <c r="H156" s="25">
        <v>3558.75</v>
      </c>
      <c r="I156" s="25">
        <v>19359.599999999999</v>
      </c>
      <c r="J156" s="26">
        <v>25409.48</v>
      </c>
    </row>
    <row r="157" spans="1:10" ht="21" customHeight="1">
      <c r="A157" s="27">
        <v>45474</v>
      </c>
      <c r="B157" s="28" t="s">
        <v>37</v>
      </c>
      <c r="C157" s="28" t="s">
        <v>35</v>
      </c>
      <c r="D157" s="28" t="s">
        <v>57</v>
      </c>
      <c r="E157" s="29">
        <v>56</v>
      </c>
      <c r="F157" s="29">
        <v>168</v>
      </c>
      <c r="G157" s="30">
        <v>23856</v>
      </c>
      <c r="H157" s="30">
        <v>834.96</v>
      </c>
      <c r="I157" s="30">
        <v>14552.16</v>
      </c>
      <c r="J157" s="31">
        <v>23481.46</v>
      </c>
    </row>
    <row r="158" spans="1:10" ht="21" customHeight="1">
      <c r="A158" s="22">
        <v>45474</v>
      </c>
      <c r="B158" s="23" t="s">
        <v>37</v>
      </c>
      <c r="C158" s="23" t="s">
        <v>35</v>
      </c>
      <c r="D158" s="23" t="s">
        <v>58</v>
      </c>
      <c r="E158" s="24">
        <v>83</v>
      </c>
      <c r="F158" s="24">
        <v>249</v>
      </c>
      <c r="G158" s="25">
        <v>35358</v>
      </c>
      <c r="H158" s="25">
        <v>2475.06</v>
      </c>
      <c r="I158" s="25">
        <v>21568.38</v>
      </c>
      <c r="J158" s="26">
        <v>33540.6</v>
      </c>
    </row>
    <row r="159" spans="1:10" ht="21" customHeight="1">
      <c r="A159" s="27">
        <v>45474</v>
      </c>
      <c r="B159" s="28" t="s">
        <v>38</v>
      </c>
      <c r="C159" s="28" t="s">
        <v>33</v>
      </c>
      <c r="D159" s="28" t="s">
        <v>57</v>
      </c>
      <c r="E159" s="29">
        <v>58</v>
      </c>
      <c r="F159" s="29">
        <v>290</v>
      </c>
      <c r="G159" s="30">
        <v>11020</v>
      </c>
      <c r="H159" s="30">
        <v>385.7</v>
      </c>
      <c r="I159" s="30">
        <v>5840.6</v>
      </c>
      <c r="J159" s="31">
        <v>10846.99</v>
      </c>
    </row>
    <row r="160" spans="1:10" ht="21" customHeight="1">
      <c r="A160" s="22">
        <v>45474</v>
      </c>
      <c r="B160" s="23" t="s">
        <v>38</v>
      </c>
      <c r="C160" s="23" t="s">
        <v>33</v>
      </c>
      <c r="D160" s="23" t="s">
        <v>58</v>
      </c>
      <c r="E160" s="24">
        <v>67</v>
      </c>
      <c r="F160" s="24">
        <v>335</v>
      </c>
      <c r="G160" s="25">
        <v>12730</v>
      </c>
      <c r="H160" s="25">
        <v>891.1</v>
      </c>
      <c r="I160" s="25">
        <v>6746.9</v>
      </c>
      <c r="J160" s="26">
        <v>12075.68</v>
      </c>
    </row>
    <row r="161" spans="1:10" ht="21" customHeight="1">
      <c r="A161" s="27">
        <v>45474</v>
      </c>
      <c r="B161" s="28" t="s">
        <v>38</v>
      </c>
      <c r="C161" s="28" t="s">
        <v>34</v>
      </c>
      <c r="D161" s="28" t="s">
        <v>57</v>
      </c>
      <c r="E161" s="29">
        <v>56</v>
      </c>
      <c r="F161" s="29">
        <v>112</v>
      </c>
      <c r="G161" s="30">
        <v>21840</v>
      </c>
      <c r="H161" s="30">
        <v>1965.6</v>
      </c>
      <c r="I161" s="30">
        <v>14851.2</v>
      </c>
      <c r="J161" s="31">
        <v>20271.89</v>
      </c>
    </row>
    <row r="162" spans="1:10" ht="21" customHeight="1">
      <c r="A162" s="22">
        <v>45474</v>
      </c>
      <c r="B162" s="23" t="s">
        <v>38</v>
      </c>
      <c r="C162" s="23" t="s">
        <v>34</v>
      </c>
      <c r="D162" s="23" t="s">
        <v>58</v>
      </c>
      <c r="E162" s="24">
        <v>81</v>
      </c>
      <c r="F162" s="24">
        <v>162</v>
      </c>
      <c r="G162" s="25">
        <v>31590</v>
      </c>
      <c r="H162" s="25">
        <v>3948.75</v>
      </c>
      <c r="I162" s="25">
        <v>21481.200000000001</v>
      </c>
      <c r="J162" s="26">
        <v>28194.080000000002</v>
      </c>
    </row>
    <row r="163" spans="1:10" ht="21" customHeight="1">
      <c r="A163" s="27">
        <v>45474</v>
      </c>
      <c r="B163" s="28" t="s">
        <v>38</v>
      </c>
      <c r="C163" s="28" t="s">
        <v>35</v>
      </c>
      <c r="D163" s="28" t="s">
        <v>57</v>
      </c>
      <c r="E163" s="29">
        <v>64</v>
      </c>
      <c r="F163" s="29">
        <v>192</v>
      </c>
      <c r="G163" s="30">
        <v>27264</v>
      </c>
      <c r="H163" s="30">
        <v>954.24</v>
      </c>
      <c r="I163" s="30">
        <v>16631.04</v>
      </c>
      <c r="J163" s="31">
        <v>26835.96</v>
      </c>
    </row>
    <row r="164" spans="1:10" ht="21" customHeight="1">
      <c r="A164" s="22">
        <v>45474</v>
      </c>
      <c r="B164" s="23" t="s">
        <v>38</v>
      </c>
      <c r="C164" s="23" t="s">
        <v>35</v>
      </c>
      <c r="D164" s="23" t="s">
        <v>58</v>
      </c>
      <c r="E164" s="24">
        <v>90</v>
      </c>
      <c r="F164" s="24">
        <v>270</v>
      </c>
      <c r="G164" s="25">
        <v>38340</v>
      </c>
      <c r="H164" s="25">
        <v>2683.8</v>
      </c>
      <c r="I164" s="25">
        <v>23387.4</v>
      </c>
      <c r="J164" s="26">
        <v>36369.32</v>
      </c>
    </row>
    <row r="165" spans="1:10" ht="21" customHeight="1">
      <c r="A165" s="27">
        <v>45474</v>
      </c>
      <c r="B165" s="28" t="s">
        <v>39</v>
      </c>
      <c r="C165" s="28" t="s">
        <v>33</v>
      </c>
      <c r="D165" s="28" t="s">
        <v>57</v>
      </c>
      <c r="E165" s="29">
        <v>58</v>
      </c>
      <c r="F165" s="29">
        <v>290</v>
      </c>
      <c r="G165" s="30">
        <v>11020</v>
      </c>
      <c r="H165" s="30">
        <v>385.7</v>
      </c>
      <c r="I165" s="30">
        <v>5840.6</v>
      </c>
      <c r="J165" s="31">
        <v>10846.99</v>
      </c>
    </row>
    <row r="166" spans="1:10" ht="21" customHeight="1">
      <c r="A166" s="22">
        <v>45474</v>
      </c>
      <c r="B166" s="23" t="s">
        <v>39</v>
      </c>
      <c r="C166" s="23" t="s">
        <v>33</v>
      </c>
      <c r="D166" s="23" t="s">
        <v>58</v>
      </c>
      <c r="E166" s="24">
        <v>81</v>
      </c>
      <c r="F166" s="24">
        <v>405</v>
      </c>
      <c r="G166" s="25">
        <v>15390</v>
      </c>
      <c r="H166" s="25">
        <v>1077.3</v>
      </c>
      <c r="I166" s="25">
        <v>8156.7</v>
      </c>
      <c r="J166" s="26">
        <v>14598.95</v>
      </c>
    </row>
    <row r="167" spans="1:10" ht="21" customHeight="1">
      <c r="A167" s="27">
        <v>45474</v>
      </c>
      <c r="B167" s="28" t="s">
        <v>39</v>
      </c>
      <c r="C167" s="28" t="s">
        <v>34</v>
      </c>
      <c r="D167" s="28" t="s">
        <v>57</v>
      </c>
      <c r="E167" s="29">
        <v>64</v>
      </c>
      <c r="F167" s="29">
        <v>128</v>
      </c>
      <c r="G167" s="30">
        <v>24960</v>
      </c>
      <c r="H167" s="30">
        <v>2246.4</v>
      </c>
      <c r="I167" s="30">
        <v>16972.8</v>
      </c>
      <c r="J167" s="31">
        <v>23167.87</v>
      </c>
    </row>
    <row r="168" spans="1:10" ht="21" customHeight="1">
      <c r="A168" s="22">
        <v>45474</v>
      </c>
      <c r="B168" s="23" t="s">
        <v>39</v>
      </c>
      <c r="C168" s="23" t="s">
        <v>34</v>
      </c>
      <c r="D168" s="23" t="s">
        <v>58</v>
      </c>
      <c r="E168" s="24">
        <v>81</v>
      </c>
      <c r="F168" s="24">
        <v>162</v>
      </c>
      <c r="G168" s="25">
        <v>31590</v>
      </c>
      <c r="H168" s="25">
        <v>3948.75</v>
      </c>
      <c r="I168" s="25">
        <v>21481.200000000001</v>
      </c>
      <c r="J168" s="26">
        <v>28194.080000000002</v>
      </c>
    </row>
    <row r="169" spans="1:10" ht="21" customHeight="1">
      <c r="A169" s="27">
        <v>45474</v>
      </c>
      <c r="B169" s="28" t="s">
        <v>39</v>
      </c>
      <c r="C169" s="28" t="s">
        <v>35</v>
      </c>
      <c r="D169" s="28" t="s">
        <v>57</v>
      </c>
      <c r="E169" s="29">
        <v>71</v>
      </c>
      <c r="F169" s="29">
        <v>213</v>
      </c>
      <c r="G169" s="30">
        <v>30246</v>
      </c>
      <c r="H169" s="30">
        <v>1058.6099999999999</v>
      </c>
      <c r="I169" s="30">
        <v>18450.060000000001</v>
      </c>
      <c r="J169" s="31">
        <v>29771.14</v>
      </c>
    </row>
    <row r="170" spans="1:10" ht="21" customHeight="1">
      <c r="A170" s="22">
        <v>45474</v>
      </c>
      <c r="B170" s="23" t="s">
        <v>39</v>
      </c>
      <c r="C170" s="23" t="s">
        <v>35</v>
      </c>
      <c r="D170" s="23" t="s">
        <v>58</v>
      </c>
      <c r="E170" s="24">
        <v>99</v>
      </c>
      <c r="F170" s="24">
        <v>297</v>
      </c>
      <c r="G170" s="25">
        <v>42174</v>
      </c>
      <c r="H170" s="25">
        <v>2952.18</v>
      </c>
      <c r="I170" s="25">
        <v>25726.14</v>
      </c>
      <c r="J170" s="26">
        <v>40006.26</v>
      </c>
    </row>
    <row r="171" spans="1:10" ht="21" customHeight="1">
      <c r="A171" s="27">
        <v>45474</v>
      </c>
      <c r="B171" s="28" t="s">
        <v>40</v>
      </c>
      <c r="C171" s="28" t="s">
        <v>33</v>
      </c>
      <c r="D171" s="28" t="s">
        <v>57</v>
      </c>
      <c r="E171" s="29">
        <v>66</v>
      </c>
      <c r="F171" s="29">
        <v>330</v>
      </c>
      <c r="G171" s="30">
        <v>12540</v>
      </c>
      <c r="H171" s="30">
        <v>438.9</v>
      </c>
      <c r="I171" s="30">
        <v>6646.2</v>
      </c>
      <c r="J171" s="31">
        <v>12343.12</v>
      </c>
    </row>
    <row r="172" spans="1:10" ht="21" customHeight="1">
      <c r="A172" s="22">
        <v>45474</v>
      </c>
      <c r="B172" s="23" t="s">
        <v>40</v>
      </c>
      <c r="C172" s="23" t="s">
        <v>33</v>
      </c>
      <c r="D172" s="23" t="s">
        <v>58</v>
      </c>
      <c r="E172" s="24">
        <v>92</v>
      </c>
      <c r="F172" s="24">
        <v>460</v>
      </c>
      <c r="G172" s="25">
        <v>17480</v>
      </c>
      <c r="H172" s="25">
        <v>1223.5999999999999</v>
      </c>
      <c r="I172" s="25">
        <v>9264.4</v>
      </c>
      <c r="J172" s="26">
        <v>16581.53</v>
      </c>
    </row>
    <row r="173" spans="1:10" ht="21" customHeight="1">
      <c r="A173" s="27">
        <v>45474</v>
      </c>
      <c r="B173" s="28" t="s">
        <v>40</v>
      </c>
      <c r="C173" s="28" t="s">
        <v>34</v>
      </c>
      <c r="D173" s="28" t="s">
        <v>57</v>
      </c>
      <c r="E173" s="29">
        <v>75</v>
      </c>
      <c r="F173" s="29">
        <v>150</v>
      </c>
      <c r="G173" s="30">
        <v>29250</v>
      </c>
      <c r="H173" s="30">
        <v>2632.5</v>
      </c>
      <c r="I173" s="30">
        <v>19890</v>
      </c>
      <c r="J173" s="31">
        <v>27149.85</v>
      </c>
    </row>
    <row r="174" spans="1:10" ht="21" customHeight="1">
      <c r="A174" s="22">
        <v>45474</v>
      </c>
      <c r="B174" s="23" t="s">
        <v>40</v>
      </c>
      <c r="C174" s="23" t="s">
        <v>34</v>
      </c>
      <c r="D174" s="23" t="s">
        <v>58</v>
      </c>
      <c r="E174" s="24">
        <v>96</v>
      </c>
      <c r="F174" s="24">
        <v>192</v>
      </c>
      <c r="G174" s="25">
        <v>37440</v>
      </c>
      <c r="H174" s="25">
        <v>4680</v>
      </c>
      <c r="I174" s="25">
        <v>25459.200000000001</v>
      </c>
      <c r="J174" s="26">
        <v>33415.199999999997</v>
      </c>
    </row>
    <row r="175" spans="1:10" ht="21" customHeight="1">
      <c r="A175" s="27">
        <v>45474</v>
      </c>
      <c r="B175" s="28" t="s">
        <v>40</v>
      </c>
      <c r="C175" s="28" t="s">
        <v>35</v>
      </c>
      <c r="D175" s="28" t="s">
        <v>57</v>
      </c>
      <c r="E175" s="29">
        <v>86</v>
      </c>
      <c r="F175" s="29">
        <v>258</v>
      </c>
      <c r="G175" s="30">
        <v>36636</v>
      </c>
      <c r="H175" s="30">
        <v>1282.26</v>
      </c>
      <c r="I175" s="30">
        <v>22347.96</v>
      </c>
      <c r="J175" s="31">
        <v>36060.81</v>
      </c>
    </row>
    <row r="176" spans="1:10" ht="21" customHeight="1">
      <c r="A176" s="22">
        <v>45474</v>
      </c>
      <c r="B176" s="23" t="s">
        <v>40</v>
      </c>
      <c r="C176" s="23" t="s">
        <v>35</v>
      </c>
      <c r="D176" s="23" t="s">
        <v>58</v>
      </c>
      <c r="E176" s="24">
        <v>93</v>
      </c>
      <c r="F176" s="24">
        <v>279</v>
      </c>
      <c r="G176" s="25">
        <v>39618</v>
      </c>
      <c r="H176" s="25">
        <v>2773.26</v>
      </c>
      <c r="I176" s="25">
        <v>24166.98</v>
      </c>
      <c r="J176" s="26">
        <v>37581.629999999997</v>
      </c>
    </row>
    <row r="177" spans="1:10" ht="21" customHeight="1">
      <c r="A177" s="27">
        <v>45505</v>
      </c>
      <c r="B177" s="28" t="s">
        <v>37</v>
      </c>
      <c r="C177" s="28" t="s">
        <v>33</v>
      </c>
      <c r="D177" s="28" t="s">
        <v>57</v>
      </c>
      <c r="E177" s="29">
        <v>47</v>
      </c>
      <c r="F177" s="29">
        <v>235</v>
      </c>
      <c r="G177" s="30">
        <v>8930</v>
      </c>
      <c r="H177" s="30">
        <v>312.55</v>
      </c>
      <c r="I177" s="30">
        <v>4732.8999999999996</v>
      </c>
      <c r="J177" s="31">
        <v>8789.7999999999993</v>
      </c>
    </row>
    <row r="178" spans="1:10" ht="21" customHeight="1">
      <c r="A178" s="22">
        <v>45505</v>
      </c>
      <c r="B178" s="23" t="s">
        <v>37</v>
      </c>
      <c r="C178" s="23" t="s">
        <v>33</v>
      </c>
      <c r="D178" s="23" t="s">
        <v>58</v>
      </c>
      <c r="E178" s="24">
        <v>67</v>
      </c>
      <c r="F178" s="24">
        <v>335</v>
      </c>
      <c r="G178" s="25">
        <v>12730</v>
      </c>
      <c r="H178" s="25">
        <v>891.1</v>
      </c>
      <c r="I178" s="25">
        <v>6746.9</v>
      </c>
      <c r="J178" s="26">
        <v>12075.68</v>
      </c>
    </row>
    <row r="179" spans="1:10" ht="21" customHeight="1">
      <c r="A179" s="27">
        <v>45505</v>
      </c>
      <c r="B179" s="28" t="s">
        <v>37</v>
      </c>
      <c r="C179" s="28" t="s">
        <v>34</v>
      </c>
      <c r="D179" s="28" t="s">
        <v>57</v>
      </c>
      <c r="E179" s="29">
        <v>61</v>
      </c>
      <c r="F179" s="29">
        <v>122</v>
      </c>
      <c r="G179" s="30">
        <v>23790</v>
      </c>
      <c r="H179" s="30">
        <v>2141.1</v>
      </c>
      <c r="I179" s="30">
        <v>16177.2</v>
      </c>
      <c r="J179" s="31">
        <v>22081.88</v>
      </c>
    </row>
    <row r="180" spans="1:10" ht="21" customHeight="1">
      <c r="A180" s="22">
        <v>45505</v>
      </c>
      <c r="B180" s="23" t="s">
        <v>37</v>
      </c>
      <c r="C180" s="23" t="s">
        <v>34</v>
      </c>
      <c r="D180" s="23" t="s">
        <v>58</v>
      </c>
      <c r="E180" s="24">
        <v>76</v>
      </c>
      <c r="F180" s="24">
        <v>152</v>
      </c>
      <c r="G180" s="25">
        <v>29640</v>
      </c>
      <c r="H180" s="25">
        <v>3705</v>
      </c>
      <c r="I180" s="25">
        <v>20155.2</v>
      </c>
      <c r="J180" s="26">
        <v>26453.7</v>
      </c>
    </row>
    <row r="181" spans="1:10" ht="21" customHeight="1">
      <c r="A181" s="27">
        <v>45505</v>
      </c>
      <c r="B181" s="28" t="s">
        <v>37</v>
      </c>
      <c r="C181" s="28" t="s">
        <v>35</v>
      </c>
      <c r="D181" s="28" t="s">
        <v>57</v>
      </c>
      <c r="E181" s="29">
        <v>60</v>
      </c>
      <c r="F181" s="29">
        <v>180</v>
      </c>
      <c r="G181" s="30">
        <v>25560</v>
      </c>
      <c r="H181" s="30">
        <v>894.6</v>
      </c>
      <c r="I181" s="30">
        <v>15591.6</v>
      </c>
      <c r="J181" s="31">
        <v>25158.71</v>
      </c>
    </row>
    <row r="182" spans="1:10" ht="21" customHeight="1">
      <c r="A182" s="22">
        <v>45505</v>
      </c>
      <c r="B182" s="23" t="s">
        <v>37</v>
      </c>
      <c r="C182" s="23" t="s">
        <v>35</v>
      </c>
      <c r="D182" s="23" t="s">
        <v>58</v>
      </c>
      <c r="E182" s="24">
        <v>88</v>
      </c>
      <c r="F182" s="24">
        <v>264</v>
      </c>
      <c r="G182" s="25">
        <v>37488</v>
      </c>
      <c r="H182" s="25">
        <v>2624.16</v>
      </c>
      <c r="I182" s="25">
        <v>22867.68</v>
      </c>
      <c r="J182" s="26">
        <v>35561.120000000003</v>
      </c>
    </row>
    <row r="183" spans="1:10" ht="21" customHeight="1">
      <c r="A183" s="27">
        <v>45505</v>
      </c>
      <c r="B183" s="28" t="s">
        <v>38</v>
      </c>
      <c r="C183" s="28" t="s">
        <v>33</v>
      </c>
      <c r="D183" s="28" t="s">
        <v>57</v>
      </c>
      <c r="E183" s="29">
        <v>57</v>
      </c>
      <c r="F183" s="29">
        <v>285</v>
      </c>
      <c r="G183" s="30">
        <v>10830</v>
      </c>
      <c r="H183" s="30">
        <v>379.05</v>
      </c>
      <c r="I183" s="30">
        <v>5739.9</v>
      </c>
      <c r="J183" s="31">
        <v>10659.97</v>
      </c>
    </row>
    <row r="184" spans="1:10" ht="21" customHeight="1">
      <c r="A184" s="22">
        <v>45505</v>
      </c>
      <c r="B184" s="23" t="s">
        <v>38</v>
      </c>
      <c r="C184" s="23" t="s">
        <v>33</v>
      </c>
      <c r="D184" s="23" t="s">
        <v>58</v>
      </c>
      <c r="E184" s="24">
        <v>83</v>
      </c>
      <c r="F184" s="24">
        <v>415</v>
      </c>
      <c r="G184" s="25">
        <v>15770</v>
      </c>
      <c r="H184" s="25">
        <v>1103.9000000000001</v>
      </c>
      <c r="I184" s="25">
        <v>8358.1</v>
      </c>
      <c r="J184" s="26">
        <v>14959.42</v>
      </c>
    </row>
    <row r="185" spans="1:10" ht="21" customHeight="1">
      <c r="A185" s="27">
        <v>45505</v>
      </c>
      <c r="B185" s="28" t="s">
        <v>38</v>
      </c>
      <c r="C185" s="28" t="s">
        <v>34</v>
      </c>
      <c r="D185" s="28" t="s">
        <v>57</v>
      </c>
      <c r="E185" s="29">
        <v>64</v>
      </c>
      <c r="F185" s="29">
        <v>128</v>
      </c>
      <c r="G185" s="30">
        <v>24960</v>
      </c>
      <c r="H185" s="30">
        <v>2246.4</v>
      </c>
      <c r="I185" s="30">
        <v>16972.8</v>
      </c>
      <c r="J185" s="31">
        <v>23167.87</v>
      </c>
    </row>
    <row r="186" spans="1:10" ht="21" customHeight="1">
      <c r="A186" s="22">
        <v>45505</v>
      </c>
      <c r="B186" s="23" t="s">
        <v>38</v>
      </c>
      <c r="C186" s="23" t="s">
        <v>34</v>
      </c>
      <c r="D186" s="23" t="s">
        <v>58</v>
      </c>
      <c r="E186" s="24">
        <v>81</v>
      </c>
      <c r="F186" s="24">
        <v>162</v>
      </c>
      <c r="G186" s="25">
        <v>31590</v>
      </c>
      <c r="H186" s="25">
        <v>3948.75</v>
      </c>
      <c r="I186" s="25">
        <v>21481.200000000001</v>
      </c>
      <c r="J186" s="26">
        <v>28194.080000000002</v>
      </c>
    </row>
    <row r="187" spans="1:10" ht="21" customHeight="1">
      <c r="A187" s="27">
        <v>45505</v>
      </c>
      <c r="B187" s="28" t="s">
        <v>38</v>
      </c>
      <c r="C187" s="28" t="s">
        <v>35</v>
      </c>
      <c r="D187" s="28" t="s">
        <v>57</v>
      </c>
      <c r="E187" s="29">
        <v>72</v>
      </c>
      <c r="F187" s="29">
        <v>216</v>
      </c>
      <c r="G187" s="30">
        <v>30672</v>
      </c>
      <c r="H187" s="30">
        <v>1073.52</v>
      </c>
      <c r="I187" s="30">
        <v>18709.919999999998</v>
      </c>
      <c r="J187" s="31">
        <v>30190.45</v>
      </c>
    </row>
    <row r="188" spans="1:10" ht="21" customHeight="1">
      <c r="A188" s="22">
        <v>45505</v>
      </c>
      <c r="B188" s="23" t="s">
        <v>38</v>
      </c>
      <c r="C188" s="23" t="s">
        <v>35</v>
      </c>
      <c r="D188" s="23" t="s">
        <v>58</v>
      </c>
      <c r="E188" s="24">
        <v>98</v>
      </c>
      <c r="F188" s="24">
        <v>294</v>
      </c>
      <c r="G188" s="25">
        <v>41748</v>
      </c>
      <c r="H188" s="25">
        <v>2922.36</v>
      </c>
      <c r="I188" s="25">
        <v>25466.28</v>
      </c>
      <c r="J188" s="26">
        <v>39602.15</v>
      </c>
    </row>
    <row r="189" spans="1:10" ht="21" customHeight="1">
      <c r="A189" s="27">
        <v>45505</v>
      </c>
      <c r="B189" s="28" t="s">
        <v>39</v>
      </c>
      <c r="C189" s="28" t="s">
        <v>33</v>
      </c>
      <c r="D189" s="28" t="s">
        <v>57</v>
      </c>
      <c r="E189" s="29">
        <v>66</v>
      </c>
      <c r="F189" s="29">
        <v>330</v>
      </c>
      <c r="G189" s="30">
        <v>12540</v>
      </c>
      <c r="H189" s="30">
        <v>438.9</v>
      </c>
      <c r="I189" s="30">
        <v>6646.2</v>
      </c>
      <c r="J189" s="31">
        <v>12343.12</v>
      </c>
    </row>
    <row r="190" spans="1:10" ht="21" customHeight="1">
      <c r="A190" s="22">
        <v>45505</v>
      </c>
      <c r="B190" s="23" t="s">
        <v>39</v>
      </c>
      <c r="C190" s="23" t="s">
        <v>33</v>
      </c>
      <c r="D190" s="23" t="s">
        <v>58</v>
      </c>
      <c r="E190" s="24">
        <v>86</v>
      </c>
      <c r="F190" s="24">
        <v>430</v>
      </c>
      <c r="G190" s="25">
        <v>16340</v>
      </c>
      <c r="H190" s="25">
        <v>1143.8</v>
      </c>
      <c r="I190" s="25">
        <v>8660.2000000000007</v>
      </c>
      <c r="J190" s="26">
        <v>15500.12</v>
      </c>
    </row>
    <row r="191" spans="1:10" ht="21" customHeight="1">
      <c r="A191" s="27">
        <v>45505</v>
      </c>
      <c r="B191" s="28" t="s">
        <v>39</v>
      </c>
      <c r="C191" s="28" t="s">
        <v>34</v>
      </c>
      <c r="D191" s="28" t="s">
        <v>57</v>
      </c>
      <c r="E191" s="29">
        <v>70</v>
      </c>
      <c r="F191" s="29">
        <v>140</v>
      </c>
      <c r="G191" s="30">
        <v>27300</v>
      </c>
      <c r="H191" s="30">
        <v>2457</v>
      </c>
      <c r="I191" s="30">
        <v>18564</v>
      </c>
      <c r="J191" s="31">
        <v>25339.86</v>
      </c>
    </row>
    <row r="192" spans="1:10" ht="21" customHeight="1">
      <c r="A192" s="22">
        <v>45505</v>
      </c>
      <c r="B192" s="23" t="s">
        <v>39</v>
      </c>
      <c r="C192" s="23" t="s">
        <v>34</v>
      </c>
      <c r="D192" s="23" t="s">
        <v>58</v>
      </c>
      <c r="E192" s="24">
        <v>89</v>
      </c>
      <c r="F192" s="24">
        <v>178</v>
      </c>
      <c r="G192" s="25">
        <v>34710</v>
      </c>
      <c r="H192" s="25">
        <v>4338.75</v>
      </c>
      <c r="I192" s="25">
        <v>23602.799999999999</v>
      </c>
      <c r="J192" s="26">
        <v>30978.68</v>
      </c>
    </row>
    <row r="193" spans="1:10" ht="21" customHeight="1">
      <c r="A193" s="27">
        <v>45505</v>
      </c>
      <c r="B193" s="28" t="s">
        <v>39</v>
      </c>
      <c r="C193" s="28" t="s">
        <v>35</v>
      </c>
      <c r="D193" s="28" t="s">
        <v>57</v>
      </c>
      <c r="E193" s="29">
        <v>78</v>
      </c>
      <c r="F193" s="29">
        <v>234</v>
      </c>
      <c r="G193" s="30">
        <v>33228</v>
      </c>
      <c r="H193" s="30">
        <v>1162.98</v>
      </c>
      <c r="I193" s="30">
        <v>20269.080000000002</v>
      </c>
      <c r="J193" s="31">
        <v>32706.32</v>
      </c>
    </row>
    <row r="194" spans="1:10" ht="21" customHeight="1">
      <c r="A194" s="22">
        <v>45505</v>
      </c>
      <c r="B194" s="23" t="s">
        <v>39</v>
      </c>
      <c r="C194" s="23" t="s">
        <v>35</v>
      </c>
      <c r="D194" s="23" t="s">
        <v>58</v>
      </c>
      <c r="E194" s="24">
        <v>97</v>
      </c>
      <c r="F194" s="24">
        <v>291</v>
      </c>
      <c r="G194" s="25">
        <v>41322</v>
      </c>
      <c r="H194" s="25">
        <v>2892.54</v>
      </c>
      <c r="I194" s="25">
        <v>25206.42</v>
      </c>
      <c r="J194" s="26">
        <v>39198.050000000003</v>
      </c>
    </row>
    <row r="195" spans="1:10" ht="21" customHeight="1">
      <c r="A195" s="27">
        <v>45505</v>
      </c>
      <c r="B195" s="28" t="s">
        <v>40</v>
      </c>
      <c r="C195" s="28" t="s">
        <v>33</v>
      </c>
      <c r="D195" s="28" t="s">
        <v>57</v>
      </c>
      <c r="E195" s="29">
        <v>71</v>
      </c>
      <c r="F195" s="29">
        <v>355</v>
      </c>
      <c r="G195" s="30">
        <v>13490</v>
      </c>
      <c r="H195" s="30">
        <v>472.15</v>
      </c>
      <c r="I195" s="30">
        <v>7149.7</v>
      </c>
      <c r="J195" s="31">
        <v>13278.21</v>
      </c>
    </row>
    <row r="196" spans="1:10" ht="21" customHeight="1">
      <c r="A196" s="22">
        <v>45505</v>
      </c>
      <c r="B196" s="23" t="s">
        <v>40</v>
      </c>
      <c r="C196" s="23" t="s">
        <v>33</v>
      </c>
      <c r="D196" s="23" t="s">
        <v>58</v>
      </c>
      <c r="E196" s="24">
        <v>94</v>
      </c>
      <c r="F196" s="24">
        <v>470</v>
      </c>
      <c r="G196" s="25">
        <v>17860</v>
      </c>
      <c r="H196" s="25">
        <v>1250.2</v>
      </c>
      <c r="I196" s="25">
        <v>9465.7999999999993</v>
      </c>
      <c r="J196" s="26">
        <v>16942</v>
      </c>
    </row>
    <row r="197" spans="1:10" ht="21" customHeight="1">
      <c r="A197" s="27">
        <v>45505</v>
      </c>
      <c r="B197" s="28" t="s">
        <v>40</v>
      </c>
      <c r="C197" s="28" t="s">
        <v>34</v>
      </c>
      <c r="D197" s="28" t="s">
        <v>57</v>
      </c>
      <c r="E197" s="29">
        <v>80</v>
      </c>
      <c r="F197" s="29">
        <v>160</v>
      </c>
      <c r="G197" s="30">
        <v>31200</v>
      </c>
      <c r="H197" s="30">
        <v>2808</v>
      </c>
      <c r="I197" s="30">
        <v>21216</v>
      </c>
      <c r="J197" s="31">
        <v>28959.84</v>
      </c>
    </row>
    <row r="198" spans="1:10" ht="21" customHeight="1">
      <c r="A198" s="22">
        <v>45505</v>
      </c>
      <c r="B198" s="23" t="s">
        <v>40</v>
      </c>
      <c r="C198" s="23" t="s">
        <v>34</v>
      </c>
      <c r="D198" s="23" t="s">
        <v>58</v>
      </c>
      <c r="E198" s="24">
        <v>101</v>
      </c>
      <c r="F198" s="24">
        <v>202</v>
      </c>
      <c r="G198" s="25">
        <v>39390</v>
      </c>
      <c r="H198" s="25">
        <v>4923.75</v>
      </c>
      <c r="I198" s="25">
        <v>26785.200000000001</v>
      </c>
      <c r="J198" s="26">
        <v>35155.57</v>
      </c>
    </row>
    <row r="199" spans="1:10" ht="21" customHeight="1">
      <c r="A199" s="27">
        <v>45505</v>
      </c>
      <c r="B199" s="28" t="s">
        <v>40</v>
      </c>
      <c r="C199" s="28" t="s">
        <v>35</v>
      </c>
      <c r="D199" s="28" t="s">
        <v>57</v>
      </c>
      <c r="E199" s="29">
        <v>94</v>
      </c>
      <c r="F199" s="29">
        <v>282</v>
      </c>
      <c r="G199" s="30">
        <v>40044</v>
      </c>
      <c r="H199" s="30">
        <v>1401.54</v>
      </c>
      <c r="I199" s="30">
        <v>24426.84</v>
      </c>
      <c r="J199" s="31">
        <v>39415.31</v>
      </c>
    </row>
    <row r="200" spans="1:10" ht="21" customHeight="1">
      <c r="A200" s="22">
        <v>45505</v>
      </c>
      <c r="B200" s="23" t="s">
        <v>40</v>
      </c>
      <c r="C200" s="23" t="s">
        <v>35</v>
      </c>
      <c r="D200" s="23" t="s">
        <v>58</v>
      </c>
      <c r="E200" s="24">
        <v>105</v>
      </c>
      <c r="F200" s="24">
        <v>315</v>
      </c>
      <c r="G200" s="25">
        <v>44730</v>
      </c>
      <c r="H200" s="25">
        <v>3131.1</v>
      </c>
      <c r="I200" s="25">
        <v>27285.3</v>
      </c>
      <c r="J200" s="26">
        <v>42430.879999999997</v>
      </c>
    </row>
    <row r="201" spans="1:10" ht="21" customHeight="1">
      <c r="A201" s="27">
        <v>45536</v>
      </c>
      <c r="B201" s="28" t="s">
        <v>37</v>
      </c>
      <c r="C201" s="28" t="s">
        <v>33</v>
      </c>
      <c r="D201" s="28" t="s">
        <v>57</v>
      </c>
      <c r="E201" s="29">
        <v>54</v>
      </c>
      <c r="F201" s="29">
        <v>270</v>
      </c>
      <c r="G201" s="30">
        <v>10260</v>
      </c>
      <c r="H201" s="30">
        <v>359.1</v>
      </c>
      <c r="I201" s="30">
        <v>5437.8</v>
      </c>
      <c r="J201" s="31">
        <v>10098.92</v>
      </c>
    </row>
    <row r="202" spans="1:10" ht="21" customHeight="1">
      <c r="A202" s="22">
        <v>45536</v>
      </c>
      <c r="B202" s="23" t="s">
        <v>37</v>
      </c>
      <c r="C202" s="23" t="s">
        <v>33</v>
      </c>
      <c r="D202" s="23" t="s">
        <v>58</v>
      </c>
      <c r="E202" s="24">
        <v>79</v>
      </c>
      <c r="F202" s="24">
        <v>395</v>
      </c>
      <c r="G202" s="25">
        <v>15010</v>
      </c>
      <c r="H202" s="25">
        <v>1050.7</v>
      </c>
      <c r="I202" s="25">
        <v>7955.3</v>
      </c>
      <c r="J202" s="26">
        <v>14238.49</v>
      </c>
    </row>
    <row r="203" spans="1:10" ht="21" customHeight="1">
      <c r="A203" s="27">
        <v>45536</v>
      </c>
      <c r="B203" s="28" t="s">
        <v>37</v>
      </c>
      <c r="C203" s="28" t="s">
        <v>34</v>
      </c>
      <c r="D203" s="28" t="s">
        <v>57</v>
      </c>
      <c r="E203" s="29">
        <v>59</v>
      </c>
      <c r="F203" s="29">
        <v>118</v>
      </c>
      <c r="G203" s="30">
        <v>23010</v>
      </c>
      <c r="H203" s="30">
        <v>2070.9</v>
      </c>
      <c r="I203" s="30">
        <v>15646.8</v>
      </c>
      <c r="J203" s="31">
        <v>21357.88</v>
      </c>
    </row>
    <row r="204" spans="1:10" ht="21" customHeight="1">
      <c r="A204" s="22">
        <v>45536</v>
      </c>
      <c r="B204" s="23" t="s">
        <v>37</v>
      </c>
      <c r="C204" s="23" t="s">
        <v>34</v>
      </c>
      <c r="D204" s="23" t="s">
        <v>58</v>
      </c>
      <c r="E204" s="24">
        <v>87</v>
      </c>
      <c r="F204" s="24">
        <v>174</v>
      </c>
      <c r="G204" s="25">
        <v>33930</v>
      </c>
      <c r="H204" s="25">
        <v>4241.25</v>
      </c>
      <c r="I204" s="25">
        <v>23072.400000000001</v>
      </c>
      <c r="J204" s="26">
        <v>30282.53</v>
      </c>
    </row>
    <row r="205" spans="1:10" ht="21" customHeight="1">
      <c r="A205" s="27">
        <v>45536</v>
      </c>
      <c r="B205" s="28" t="s">
        <v>37</v>
      </c>
      <c r="C205" s="28" t="s">
        <v>35</v>
      </c>
      <c r="D205" s="28" t="s">
        <v>57</v>
      </c>
      <c r="E205" s="29">
        <v>75</v>
      </c>
      <c r="F205" s="29">
        <v>225</v>
      </c>
      <c r="G205" s="30">
        <v>31950</v>
      </c>
      <c r="H205" s="30">
        <v>1118.25</v>
      </c>
      <c r="I205" s="30">
        <v>19489.5</v>
      </c>
      <c r="J205" s="31">
        <v>31448.39</v>
      </c>
    </row>
    <row r="206" spans="1:10" ht="21" customHeight="1">
      <c r="A206" s="22">
        <v>45536</v>
      </c>
      <c r="B206" s="23" t="s">
        <v>37</v>
      </c>
      <c r="C206" s="23" t="s">
        <v>35</v>
      </c>
      <c r="D206" s="23" t="s">
        <v>58</v>
      </c>
      <c r="E206" s="24">
        <v>91</v>
      </c>
      <c r="F206" s="24">
        <v>273</v>
      </c>
      <c r="G206" s="25">
        <v>38766</v>
      </c>
      <c r="H206" s="25">
        <v>2713.62</v>
      </c>
      <c r="I206" s="25">
        <v>23647.26</v>
      </c>
      <c r="J206" s="26">
        <v>36773.43</v>
      </c>
    </row>
    <row r="207" spans="1:10" ht="21" customHeight="1">
      <c r="A207" s="27">
        <v>45536</v>
      </c>
      <c r="B207" s="28" t="s">
        <v>38</v>
      </c>
      <c r="C207" s="28" t="s">
        <v>33</v>
      </c>
      <c r="D207" s="28" t="s">
        <v>57</v>
      </c>
      <c r="E207" s="29">
        <v>62</v>
      </c>
      <c r="F207" s="29">
        <v>310</v>
      </c>
      <c r="G207" s="30">
        <v>11780</v>
      </c>
      <c r="H207" s="30">
        <v>412.3</v>
      </c>
      <c r="I207" s="30">
        <v>6243.4</v>
      </c>
      <c r="J207" s="31">
        <v>11595.05</v>
      </c>
    </row>
    <row r="208" spans="1:10" ht="21" customHeight="1">
      <c r="A208" s="22">
        <v>45536</v>
      </c>
      <c r="B208" s="23" t="s">
        <v>38</v>
      </c>
      <c r="C208" s="23" t="s">
        <v>33</v>
      </c>
      <c r="D208" s="23" t="s">
        <v>58</v>
      </c>
      <c r="E208" s="24">
        <v>89</v>
      </c>
      <c r="F208" s="24">
        <v>445</v>
      </c>
      <c r="G208" s="25">
        <v>16910</v>
      </c>
      <c r="H208" s="25">
        <v>1183.7</v>
      </c>
      <c r="I208" s="25">
        <v>8962.2999999999993</v>
      </c>
      <c r="J208" s="26">
        <v>16040.83</v>
      </c>
    </row>
    <row r="209" spans="1:10" ht="21" customHeight="1">
      <c r="A209" s="27">
        <v>45536</v>
      </c>
      <c r="B209" s="28" t="s">
        <v>38</v>
      </c>
      <c r="C209" s="28" t="s">
        <v>34</v>
      </c>
      <c r="D209" s="28" t="s">
        <v>57</v>
      </c>
      <c r="E209" s="29">
        <v>68</v>
      </c>
      <c r="F209" s="29">
        <v>136</v>
      </c>
      <c r="G209" s="30">
        <v>26520</v>
      </c>
      <c r="H209" s="30">
        <v>2386.8000000000002</v>
      </c>
      <c r="I209" s="30">
        <v>18033.599999999999</v>
      </c>
      <c r="J209" s="31">
        <v>24615.86</v>
      </c>
    </row>
    <row r="210" spans="1:10" ht="21" customHeight="1">
      <c r="A210" s="22">
        <v>45536</v>
      </c>
      <c r="B210" s="23" t="s">
        <v>38</v>
      </c>
      <c r="C210" s="23" t="s">
        <v>34</v>
      </c>
      <c r="D210" s="23" t="s">
        <v>58</v>
      </c>
      <c r="E210" s="24">
        <v>88</v>
      </c>
      <c r="F210" s="24">
        <v>176</v>
      </c>
      <c r="G210" s="25">
        <v>34320</v>
      </c>
      <c r="H210" s="25">
        <v>4290</v>
      </c>
      <c r="I210" s="25">
        <v>23337.599999999999</v>
      </c>
      <c r="J210" s="26">
        <v>30630.6</v>
      </c>
    </row>
    <row r="211" spans="1:10" ht="21" customHeight="1">
      <c r="A211" s="27">
        <v>45536</v>
      </c>
      <c r="B211" s="28" t="s">
        <v>38</v>
      </c>
      <c r="C211" s="28" t="s">
        <v>35</v>
      </c>
      <c r="D211" s="28" t="s">
        <v>57</v>
      </c>
      <c r="E211" s="29">
        <v>79</v>
      </c>
      <c r="F211" s="29">
        <v>237</v>
      </c>
      <c r="G211" s="30">
        <v>33654</v>
      </c>
      <c r="H211" s="30">
        <v>1177.8900000000001</v>
      </c>
      <c r="I211" s="30">
        <v>20528.939999999999</v>
      </c>
      <c r="J211" s="31">
        <v>33125.629999999997</v>
      </c>
    </row>
    <row r="212" spans="1:10" ht="21" customHeight="1">
      <c r="A212" s="22">
        <v>45536</v>
      </c>
      <c r="B212" s="23" t="s">
        <v>38</v>
      </c>
      <c r="C212" s="23" t="s">
        <v>35</v>
      </c>
      <c r="D212" s="23" t="s">
        <v>58</v>
      </c>
      <c r="E212" s="24">
        <v>92</v>
      </c>
      <c r="F212" s="24">
        <v>276</v>
      </c>
      <c r="G212" s="25">
        <v>39192</v>
      </c>
      <c r="H212" s="25">
        <v>2743.44</v>
      </c>
      <c r="I212" s="25">
        <v>23907.119999999999</v>
      </c>
      <c r="J212" s="26">
        <v>37177.53</v>
      </c>
    </row>
    <row r="213" spans="1:10" ht="21" customHeight="1">
      <c r="A213" s="27">
        <v>45536</v>
      </c>
      <c r="B213" s="28" t="s">
        <v>39</v>
      </c>
      <c r="C213" s="28" t="s">
        <v>33</v>
      </c>
      <c r="D213" s="28" t="s">
        <v>57</v>
      </c>
      <c r="E213" s="29">
        <v>70</v>
      </c>
      <c r="F213" s="29">
        <v>350</v>
      </c>
      <c r="G213" s="30">
        <v>13300</v>
      </c>
      <c r="H213" s="30">
        <v>465.5</v>
      </c>
      <c r="I213" s="30">
        <v>7049</v>
      </c>
      <c r="J213" s="31">
        <v>13091.19</v>
      </c>
    </row>
    <row r="214" spans="1:10" ht="21" customHeight="1">
      <c r="A214" s="22">
        <v>45536</v>
      </c>
      <c r="B214" s="23" t="s">
        <v>39</v>
      </c>
      <c r="C214" s="23" t="s">
        <v>33</v>
      </c>
      <c r="D214" s="23" t="s">
        <v>58</v>
      </c>
      <c r="E214" s="24">
        <v>91</v>
      </c>
      <c r="F214" s="24">
        <v>455</v>
      </c>
      <c r="G214" s="25">
        <v>17290</v>
      </c>
      <c r="H214" s="25">
        <v>1210.3</v>
      </c>
      <c r="I214" s="25">
        <v>9163.7000000000007</v>
      </c>
      <c r="J214" s="26">
        <v>16401.29</v>
      </c>
    </row>
    <row r="215" spans="1:10" ht="21" customHeight="1">
      <c r="A215" s="27">
        <v>45536</v>
      </c>
      <c r="B215" s="28" t="s">
        <v>39</v>
      </c>
      <c r="C215" s="28" t="s">
        <v>34</v>
      </c>
      <c r="D215" s="28" t="s">
        <v>57</v>
      </c>
      <c r="E215" s="29">
        <v>79</v>
      </c>
      <c r="F215" s="29">
        <v>158</v>
      </c>
      <c r="G215" s="30">
        <v>30810</v>
      </c>
      <c r="H215" s="30">
        <v>2772.9</v>
      </c>
      <c r="I215" s="30">
        <v>20950.8</v>
      </c>
      <c r="J215" s="31">
        <v>28597.84</v>
      </c>
    </row>
    <row r="216" spans="1:10" ht="21" customHeight="1">
      <c r="A216" s="22">
        <v>45536</v>
      </c>
      <c r="B216" s="23" t="s">
        <v>39</v>
      </c>
      <c r="C216" s="23" t="s">
        <v>34</v>
      </c>
      <c r="D216" s="23" t="s">
        <v>58</v>
      </c>
      <c r="E216" s="24">
        <v>96</v>
      </c>
      <c r="F216" s="24">
        <v>192</v>
      </c>
      <c r="G216" s="25">
        <v>37440</v>
      </c>
      <c r="H216" s="25">
        <v>4680</v>
      </c>
      <c r="I216" s="25">
        <v>25459.200000000001</v>
      </c>
      <c r="J216" s="26">
        <v>33415.199999999997</v>
      </c>
    </row>
    <row r="217" spans="1:10" ht="21" customHeight="1">
      <c r="A217" s="27">
        <v>45536</v>
      </c>
      <c r="B217" s="28" t="s">
        <v>39</v>
      </c>
      <c r="C217" s="28" t="s">
        <v>35</v>
      </c>
      <c r="D217" s="28" t="s">
        <v>57</v>
      </c>
      <c r="E217" s="29">
        <v>84</v>
      </c>
      <c r="F217" s="29">
        <v>252</v>
      </c>
      <c r="G217" s="30">
        <v>35784</v>
      </c>
      <c r="H217" s="30">
        <v>1252.44</v>
      </c>
      <c r="I217" s="30">
        <v>21828.240000000002</v>
      </c>
      <c r="J217" s="31">
        <v>35222.19</v>
      </c>
    </row>
    <row r="218" spans="1:10" ht="21" customHeight="1">
      <c r="A218" s="22">
        <v>45536</v>
      </c>
      <c r="B218" s="23" t="s">
        <v>39</v>
      </c>
      <c r="C218" s="23" t="s">
        <v>35</v>
      </c>
      <c r="D218" s="23" t="s">
        <v>58</v>
      </c>
      <c r="E218" s="24">
        <v>100</v>
      </c>
      <c r="F218" s="24">
        <v>300</v>
      </c>
      <c r="G218" s="25">
        <v>42600</v>
      </c>
      <c r="H218" s="25">
        <v>2982</v>
      </c>
      <c r="I218" s="25">
        <v>25986</v>
      </c>
      <c r="J218" s="26">
        <v>40410.36</v>
      </c>
    </row>
    <row r="219" spans="1:10" ht="21" customHeight="1">
      <c r="A219" s="27">
        <v>45536</v>
      </c>
      <c r="B219" s="28" t="s">
        <v>40</v>
      </c>
      <c r="C219" s="28" t="s">
        <v>33</v>
      </c>
      <c r="D219" s="28" t="s">
        <v>57</v>
      </c>
      <c r="E219" s="29">
        <v>78</v>
      </c>
      <c r="F219" s="29">
        <v>390</v>
      </c>
      <c r="G219" s="30">
        <v>14820</v>
      </c>
      <c r="H219" s="30">
        <v>518.70000000000005</v>
      </c>
      <c r="I219" s="30">
        <v>7854.6</v>
      </c>
      <c r="J219" s="31">
        <v>14587.33</v>
      </c>
    </row>
    <row r="220" spans="1:10" ht="21" customHeight="1">
      <c r="A220" s="22">
        <v>45536</v>
      </c>
      <c r="B220" s="23" t="s">
        <v>40</v>
      </c>
      <c r="C220" s="23" t="s">
        <v>33</v>
      </c>
      <c r="D220" s="23" t="s">
        <v>58</v>
      </c>
      <c r="E220" s="24">
        <v>103</v>
      </c>
      <c r="F220" s="24">
        <v>515</v>
      </c>
      <c r="G220" s="25">
        <v>19570</v>
      </c>
      <c r="H220" s="25">
        <v>1369.9</v>
      </c>
      <c r="I220" s="25">
        <v>10372.1</v>
      </c>
      <c r="J220" s="26">
        <v>18564.099999999999</v>
      </c>
    </row>
    <row r="221" spans="1:10" ht="21" customHeight="1">
      <c r="A221" s="27">
        <v>45536</v>
      </c>
      <c r="B221" s="28" t="s">
        <v>40</v>
      </c>
      <c r="C221" s="28" t="s">
        <v>34</v>
      </c>
      <c r="D221" s="28" t="s">
        <v>57</v>
      </c>
      <c r="E221" s="29">
        <v>96</v>
      </c>
      <c r="F221" s="29">
        <v>192</v>
      </c>
      <c r="G221" s="30">
        <v>37440</v>
      </c>
      <c r="H221" s="30">
        <v>3369.6</v>
      </c>
      <c r="I221" s="30">
        <v>25459.200000000001</v>
      </c>
      <c r="J221" s="31">
        <v>34751.81</v>
      </c>
    </row>
    <row r="222" spans="1:10" ht="21" customHeight="1">
      <c r="A222" s="22">
        <v>45536</v>
      </c>
      <c r="B222" s="23" t="s">
        <v>40</v>
      </c>
      <c r="C222" s="23" t="s">
        <v>34</v>
      </c>
      <c r="D222" s="23" t="s">
        <v>58</v>
      </c>
      <c r="E222" s="24">
        <v>108</v>
      </c>
      <c r="F222" s="24">
        <v>216</v>
      </c>
      <c r="G222" s="25">
        <v>42120</v>
      </c>
      <c r="H222" s="25">
        <v>5265</v>
      </c>
      <c r="I222" s="25">
        <v>28641.599999999999</v>
      </c>
      <c r="J222" s="26">
        <v>37592.1</v>
      </c>
    </row>
    <row r="223" spans="1:10" ht="21" customHeight="1">
      <c r="A223" s="27">
        <v>45536</v>
      </c>
      <c r="B223" s="28" t="s">
        <v>40</v>
      </c>
      <c r="C223" s="28" t="s">
        <v>35</v>
      </c>
      <c r="D223" s="28" t="s">
        <v>57</v>
      </c>
      <c r="E223" s="29">
        <v>100</v>
      </c>
      <c r="F223" s="29">
        <v>300</v>
      </c>
      <c r="G223" s="30">
        <v>42600</v>
      </c>
      <c r="H223" s="30">
        <v>1491</v>
      </c>
      <c r="I223" s="30">
        <v>25986</v>
      </c>
      <c r="J223" s="31">
        <v>41931.18</v>
      </c>
    </row>
    <row r="224" spans="1:10" ht="21" customHeight="1">
      <c r="A224" s="22">
        <v>45536</v>
      </c>
      <c r="B224" s="23" t="s">
        <v>40</v>
      </c>
      <c r="C224" s="23" t="s">
        <v>35</v>
      </c>
      <c r="D224" s="23" t="s">
        <v>58</v>
      </c>
      <c r="E224" s="24">
        <v>124</v>
      </c>
      <c r="F224" s="24">
        <v>372</v>
      </c>
      <c r="G224" s="25">
        <v>52824</v>
      </c>
      <c r="H224" s="25">
        <v>3697.68</v>
      </c>
      <c r="I224" s="25">
        <v>32222.639999999999</v>
      </c>
      <c r="J224" s="26">
        <v>50108.85</v>
      </c>
    </row>
    <row r="225" spans="1:10" ht="21" customHeight="1">
      <c r="A225" s="27">
        <v>45566</v>
      </c>
      <c r="B225" s="28" t="s">
        <v>37</v>
      </c>
      <c r="C225" s="28" t="s">
        <v>33</v>
      </c>
      <c r="D225" s="28" t="s">
        <v>57</v>
      </c>
      <c r="E225" s="29">
        <v>50</v>
      </c>
      <c r="F225" s="29">
        <v>250</v>
      </c>
      <c r="G225" s="30">
        <v>9500</v>
      </c>
      <c r="H225" s="30">
        <v>332.5</v>
      </c>
      <c r="I225" s="30">
        <v>5035</v>
      </c>
      <c r="J225" s="31">
        <v>9350.85</v>
      </c>
    </row>
    <row r="226" spans="1:10" ht="21" customHeight="1">
      <c r="A226" s="22">
        <v>45566</v>
      </c>
      <c r="B226" s="23" t="s">
        <v>37</v>
      </c>
      <c r="C226" s="23" t="s">
        <v>33</v>
      </c>
      <c r="D226" s="23" t="s">
        <v>58</v>
      </c>
      <c r="E226" s="24">
        <v>74</v>
      </c>
      <c r="F226" s="24">
        <v>370</v>
      </c>
      <c r="G226" s="25">
        <v>14060</v>
      </c>
      <c r="H226" s="25">
        <v>984.2</v>
      </c>
      <c r="I226" s="25">
        <v>7451.8</v>
      </c>
      <c r="J226" s="26">
        <v>13337.32</v>
      </c>
    </row>
    <row r="227" spans="1:10" ht="21" customHeight="1">
      <c r="A227" s="27">
        <v>45566</v>
      </c>
      <c r="B227" s="28" t="s">
        <v>37</v>
      </c>
      <c r="C227" s="28" t="s">
        <v>34</v>
      </c>
      <c r="D227" s="28" t="s">
        <v>57</v>
      </c>
      <c r="E227" s="29">
        <v>59</v>
      </c>
      <c r="F227" s="29">
        <v>118</v>
      </c>
      <c r="G227" s="30">
        <v>23010</v>
      </c>
      <c r="H227" s="30">
        <v>2070.9</v>
      </c>
      <c r="I227" s="30">
        <v>15646.8</v>
      </c>
      <c r="J227" s="31">
        <v>21357.88</v>
      </c>
    </row>
    <row r="228" spans="1:10" ht="21" customHeight="1">
      <c r="A228" s="22">
        <v>45566</v>
      </c>
      <c r="B228" s="23" t="s">
        <v>37</v>
      </c>
      <c r="C228" s="23" t="s">
        <v>34</v>
      </c>
      <c r="D228" s="23" t="s">
        <v>58</v>
      </c>
      <c r="E228" s="24">
        <v>84</v>
      </c>
      <c r="F228" s="24">
        <v>168</v>
      </c>
      <c r="G228" s="25">
        <v>32760</v>
      </c>
      <c r="H228" s="25">
        <v>4095</v>
      </c>
      <c r="I228" s="25">
        <v>22276.799999999999</v>
      </c>
      <c r="J228" s="26">
        <v>29238.3</v>
      </c>
    </row>
    <row r="229" spans="1:10" ht="21" customHeight="1">
      <c r="A229" s="27">
        <v>45566</v>
      </c>
      <c r="B229" s="28" t="s">
        <v>37</v>
      </c>
      <c r="C229" s="28" t="s">
        <v>35</v>
      </c>
      <c r="D229" s="28" t="s">
        <v>57</v>
      </c>
      <c r="E229" s="29">
        <v>68</v>
      </c>
      <c r="F229" s="29">
        <v>204</v>
      </c>
      <c r="G229" s="30">
        <v>28968</v>
      </c>
      <c r="H229" s="30">
        <v>1013.88</v>
      </c>
      <c r="I229" s="30">
        <v>17670.48</v>
      </c>
      <c r="J229" s="31">
        <v>28513.200000000001</v>
      </c>
    </row>
    <row r="230" spans="1:10" ht="21" customHeight="1">
      <c r="A230" s="22">
        <v>45566</v>
      </c>
      <c r="B230" s="23" t="s">
        <v>37</v>
      </c>
      <c r="C230" s="23" t="s">
        <v>35</v>
      </c>
      <c r="D230" s="23" t="s">
        <v>58</v>
      </c>
      <c r="E230" s="24">
        <v>90</v>
      </c>
      <c r="F230" s="24">
        <v>270</v>
      </c>
      <c r="G230" s="25">
        <v>38340</v>
      </c>
      <c r="H230" s="25">
        <v>2683.8</v>
      </c>
      <c r="I230" s="25">
        <v>23387.4</v>
      </c>
      <c r="J230" s="26">
        <v>36369.32</v>
      </c>
    </row>
    <row r="231" spans="1:10" ht="21" customHeight="1">
      <c r="A231" s="27">
        <v>45566</v>
      </c>
      <c r="B231" s="28" t="s">
        <v>38</v>
      </c>
      <c r="C231" s="28" t="s">
        <v>33</v>
      </c>
      <c r="D231" s="28" t="s">
        <v>57</v>
      </c>
      <c r="E231" s="29">
        <v>60</v>
      </c>
      <c r="F231" s="29">
        <v>300</v>
      </c>
      <c r="G231" s="30">
        <v>11400</v>
      </c>
      <c r="H231" s="30">
        <v>399</v>
      </c>
      <c r="I231" s="30">
        <v>6042</v>
      </c>
      <c r="J231" s="31">
        <v>11221.02</v>
      </c>
    </row>
    <row r="232" spans="1:10" ht="21" customHeight="1">
      <c r="A232" s="22">
        <v>45566</v>
      </c>
      <c r="B232" s="23" t="s">
        <v>38</v>
      </c>
      <c r="C232" s="23" t="s">
        <v>33</v>
      </c>
      <c r="D232" s="23" t="s">
        <v>58</v>
      </c>
      <c r="E232" s="24">
        <v>79</v>
      </c>
      <c r="F232" s="24">
        <v>395</v>
      </c>
      <c r="G232" s="25">
        <v>15010</v>
      </c>
      <c r="H232" s="25">
        <v>1050.7</v>
      </c>
      <c r="I232" s="25">
        <v>7955.3</v>
      </c>
      <c r="J232" s="26">
        <v>14238.49</v>
      </c>
    </row>
    <row r="233" spans="1:10" ht="21" customHeight="1">
      <c r="A233" s="27">
        <v>45566</v>
      </c>
      <c r="B233" s="28" t="s">
        <v>38</v>
      </c>
      <c r="C233" s="28" t="s">
        <v>34</v>
      </c>
      <c r="D233" s="28" t="s">
        <v>57</v>
      </c>
      <c r="E233" s="29">
        <v>72</v>
      </c>
      <c r="F233" s="29">
        <v>144</v>
      </c>
      <c r="G233" s="30">
        <v>28080</v>
      </c>
      <c r="H233" s="30">
        <v>2527.1999999999998</v>
      </c>
      <c r="I233" s="30">
        <v>19094.400000000001</v>
      </c>
      <c r="J233" s="31">
        <v>26063.86</v>
      </c>
    </row>
    <row r="234" spans="1:10" ht="21" customHeight="1">
      <c r="A234" s="22">
        <v>45566</v>
      </c>
      <c r="B234" s="23" t="s">
        <v>38</v>
      </c>
      <c r="C234" s="23" t="s">
        <v>34</v>
      </c>
      <c r="D234" s="23" t="s">
        <v>58</v>
      </c>
      <c r="E234" s="24">
        <v>85</v>
      </c>
      <c r="F234" s="24">
        <v>170</v>
      </c>
      <c r="G234" s="25">
        <v>33150</v>
      </c>
      <c r="H234" s="25">
        <v>4143.75</v>
      </c>
      <c r="I234" s="25">
        <v>22542</v>
      </c>
      <c r="J234" s="26">
        <v>29586.38</v>
      </c>
    </row>
    <row r="235" spans="1:10" ht="21" customHeight="1">
      <c r="A235" s="27">
        <v>45566</v>
      </c>
      <c r="B235" s="28" t="s">
        <v>38</v>
      </c>
      <c r="C235" s="28" t="s">
        <v>35</v>
      </c>
      <c r="D235" s="28" t="s">
        <v>57</v>
      </c>
      <c r="E235" s="29">
        <v>81</v>
      </c>
      <c r="F235" s="29">
        <v>243</v>
      </c>
      <c r="G235" s="30">
        <v>34506</v>
      </c>
      <c r="H235" s="30">
        <v>1207.71</v>
      </c>
      <c r="I235" s="30">
        <v>21048.66</v>
      </c>
      <c r="J235" s="31">
        <v>33964.26</v>
      </c>
    </row>
    <row r="236" spans="1:10" ht="21" customHeight="1">
      <c r="A236" s="22">
        <v>45566</v>
      </c>
      <c r="B236" s="23" t="s">
        <v>38</v>
      </c>
      <c r="C236" s="23" t="s">
        <v>35</v>
      </c>
      <c r="D236" s="23" t="s">
        <v>58</v>
      </c>
      <c r="E236" s="24">
        <v>103</v>
      </c>
      <c r="F236" s="24">
        <v>309</v>
      </c>
      <c r="G236" s="25">
        <v>43878</v>
      </c>
      <c r="H236" s="25">
        <v>3071.46</v>
      </c>
      <c r="I236" s="25">
        <v>26765.58</v>
      </c>
      <c r="J236" s="26">
        <v>41622.67</v>
      </c>
    </row>
    <row r="237" spans="1:10" ht="21" customHeight="1">
      <c r="A237" s="27">
        <v>45566</v>
      </c>
      <c r="B237" s="28" t="s">
        <v>39</v>
      </c>
      <c r="C237" s="28" t="s">
        <v>33</v>
      </c>
      <c r="D237" s="28" t="s">
        <v>57</v>
      </c>
      <c r="E237" s="29">
        <v>70</v>
      </c>
      <c r="F237" s="29">
        <v>350</v>
      </c>
      <c r="G237" s="30">
        <v>13300</v>
      </c>
      <c r="H237" s="30">
        <v>465.5</v>
      </c>
      <c r="I237" s="30">
        <v>7049</v>
      </c>
      <c r="J237" s="31">
        <v>13091.19</v>
      </c>
    </row>
    <row r="238" spans="1:10" ht="21" customHeight="1">
      <c r="A238" s="22">
        <v>45566</v>
      </c>
      <c r="B238" s="23" t="s">
        <v>39</v>
      </c>
      <c r="C238" s="23" t="s">
        <v>33</v>
      </c>
      <c r="D238" s="23" t="s">
        <v>58</v>
      </c>
      <c r="E238" s="24">
        <v>96</v>
      </c>
      <c r="F238" s="24">
        <v>480</v>
      </c>
      <c r="G238" s="25">
        <v>18240</v>
      </c>
      <c r="H238" s="25">
        <v>1276.8</v>
      </c>
      <c r="I238" s="25">
        <v>9667.2000000000007</v>
      </c>
      <c r="J238" s="26">
        <v>17302.46</v>
      </c>
    </row>
    <row r="239" spans="1:10" ht="21" customHeight="1">
      <c r="A239" s="27">
        <v>45566</v>
      </c>
      <c r="B239" s="28" t="s">
        <v>39</v>
      </c>
      <c r="C239" s="28" t="s">
        <v>34</v>
      </c>
      <c r="D239" s="28" t="s">
        <v>57</v>
      </c>
      <c r="E239" s="29">
        <v>74</v>
      </c>
      <c r="F239" s="29">
        <v>148</v>
      </c>
      <c r="G239" s="30">
        <v>28860</v>
      </c>
      <c r="H239" s="30">
        <v>2597.4</v>
      </c>
      <c r="I239" s="30">
        <v>19624.8</v>
      </c>
      <c r="J239" s="31">
        <v>26787.85</v>
      </c>
    </row>
    <row r="240" spans="1:10" ht="21" customHeight="1">
      <c r="A240" s="22">
        <v>45566</v>
      </c>
      <c r="B240" s="23" t="s">
        <v>39</v>
      </c>
      <c r="C240" s="23" t="s">
        <v>34</v>
      </c>
      <c r="D240" s="23" t="s">
        <v>58</v>
      </c>
      <c r="E240" s="24">
        <v>94</v>
      </c>
      <c r="F240" s="24">
        <v>188</v>
      </c>
      <c r="G240" s="25">
        <v>36660</v>
      </c>
      <c r="H240" s="25">
        <v>4582.5</v>
      </c>
      <c r="I240" s="25">
        <v>24928.799999999999</v>
      </c>
      <c r="J240" s="26">
        <v>32719.05</v>
      </c>
    </row>
    <row r="241" spans="1:10" ht="21" customHeight="1">
      <c r="A241" s="27">
        <v>45566</v>
      </c>
      <c r="B241" s="28" t="s">
        <v>39</v>
      </c>
      <c r="C241" s="28" t="s">
        <v>35</v>
      </c>
      <c r="D241" s="28" t="s">
        <v>57</v>
      </c>
      <c r="E241" s="29">
        <v>89</v>
      </c>
      <c r="F241" s="29">
        <v>267</v>
      </c>
      <c r="G241" s="30">
        <v>37914</v>
      </c>
      <c r="H241" s="30">
        <v>1326.99</v>
      </c>
      <c r="I241" s="30">
        <v>23127.54</v>
      </c>
      <c r="J241" s="31">
        <v>37318.75</v>
      </c>
    </row>
    <row r="242" spans="1:10" ht="21" customHeight="1">
      <c r="A242" s="22">
        <v>45566</v>
      </c>
      <c r="B242" s="23" t="s">
        <v>39</v>
      </c>
      <c r="C242" s="23" t="s">
        <v>35</v>
      </c>
      <c r="D242" s="23" t="s">
        <v>58</v>
      </c>
      <c r="E242" s="24">
        <v>101</v>
      </c>
      <c r="F242" s="24">
        <v>303</v>
      </c>
      <c r="G242" s="25">
        <v>43026</v>
      </c>
      <c r="H242" s="25">
        <v>3011.82</v>
      </c>
      <c r="I242" s="25">
        <v>26245.86</v>
      </c>
      <c r="J242" s="26">
        <v>40814.46</v>
      </c>
    </row>
    <row r="243" spans="1:10" ht="21" customHeight="1">
      <c r="A243" s="27">
        <v>45566</v>
      </c>
      <c r="B243" s="28" t="s">
        <v>40</v>
      </c>
      <c r="C243" s="28" t="s">
        <v>33</v>
      </c>
      <c r="D243" s="28" t="s">
        <v>57</v>
      </c>
      <c r="E243" s="29">
        <v>75</v>
      </c>
      <c r="F243" s="29">
        <v>375</v>
      </c>
      <c r="G243" s="30">
        <v>14250</v>
      </c>
      <c r="H243" s="30">
        <v>498.75</v>
      </c>
      <c r="I243" s="30">
        <v>7552.5</v>
      </c>
      <c r="J243" s="31">
        <v>14026.28</v>
      </c>
    </row>
    <row r="244" spans="1:10" ht="21" customHeight="1">
      <c r="A244" s="22">
        <v>45566</v>
      </c>
      <c r="B244" s="23" t="s">
        <v>40</v>
      </c>
      <c r="C244" s="23" t="s">
        <v>33</v>
      </c>
      <c r="D244" s="23" t="s">
        <v>58</v>
      </c>
      <c r="E244" s="24">
        <v>100</v>
      </c>
      <c r="F244" s="24">
        <v>500</v>
      </c>
      <c r="G244" s="25">
        <v>19000</v>
      </c>
      <c r="H244" s="25">
        <v>1330</v>
      </c>
      <c r="I244" s="25">
        <v>10070</v>
      </c>
      <c r="J244" s="26">
        <v>18023.400000000001</v>
      </c>
    </row>
    <row r="245" spans="1:10" ht="21" customHeight="1">
      <c r="A245" s="27">
        <v>45566</v>
      </c>
      <c r="B245" s="28" t="s">
        <v>40</v>
      </c>
      <c r="C245" s="28" t="s">
        <v>34</v>
      </c>
      <c r="D245" s="28" t="s">
        <v>57</v>
      </c>
      <c r="E245" s="29">
        <v>83</v>
      </c>
      <c r="F245" s="29">
        <v>166</v>
      </c>
      <c r="G245" s="30">
        <v>32370</v>
      </c>
      <c r="H245" s="30">
        <v>2913.3</v>
      </c>
      <c r="I245" s="30">
        <v>22011.599999999999</v>
      </c>
      <c r="J245" s="31">
        <v>30045.83</v>
      </c>
    </row>
    <row r="246" spans="1:10" ht="21" customHeight="1">
      <c r="A246" s="22">
        <v>45566</v>
      </c>
      <c r="B246" s="23" t="s">
        <v>40</v>
      </c>
      <c r="C246" s="23" t="s">
        <v>34</v>
      </c>
      <c r="D246" s="23" t="s">
        <v>58</v>
      </c>
      <c r="E246" s="24">
        <v>103</v>
      </c>
      <c r="F246" s="24">
        <v>206</v>
      </c>
      <c r="G246" s="25">
        <v>40170</v>
      </c>
      <c r="H246" s="25">
        <v>5021.25</v>
      </c>
      <c r="I246" s="25">
        <v>27315.599999999999</v>
      </c>
      <c r="J246" s="26">
        <v>35851.730000000003</v>
      </c>
    </row>
    <row r="247" spans="1:10" ht="21" customHeight="1">
      <c r="A247" s="27">
        <v>45566</v>
      </c>
      <c r="B247" s="28" t="s">
        <v>40</v>
      </c>
      <c r="C247" s="28" t="s">
        <v>35</v>
      </c>
      <c r="D247" s="28" t="s">
        <v>57</v>
      </c>
      <c r="E247" s="29">
        <v>94</v>
      </c>
      <c r="F247" s="29">
        <v>282</v>
      </c>
      <c r="G247" s="30">
        <v>40044</v>
      </c>
      <c r="H247" s="30">
        <v>1401.54</v>
      </c>
      <c r="I247" s="30">
        <v>24426.84</v>
      </c>
      <c r="J247" s="31">
        <v>39415.31</v>
      </c>
    </row>
    <row r="248" spans="1:10" ht="21" customHeight="1">
      <c r="A248" s="22">
        <v>45566</v>
      </c>
      <c r="B248" s="23" t="s">
        <v>40</v>
      </c>
      <c r="C248" s="23" t="s">
        <v>35</v>
      </c>
      <c r="D248" s="23" t="s">
        <v>58</v>
      </c>
      <c r="E248" s="24">
        <v>115</v>
      </c>
      <c r="F248" s="24">
        <v>345</v>
      </c>
      <c r="G248" s="25">
        <v>48990</v>
      </c>
      <c r="H248" s="25">
        <v>3429.3</v>
      </c>
      <c r="I248" s="25">
        <v>29883.9</v>
      </c>
      <c r="J248" s="26">
        <v>46471.91</v>
      </c>
    </row>
    <row r="249" spans="1:10" ht="21" customHeight="1">
      <c r="A249" s="27">
        <v>45597</v>
      </c>
      <c r="B249" s="28" t="s">
        <v>37</v>
      </c>
      <c r="C249" s="28" t="s">
        <v>33</v>
      </c>
      <c r="D249" s="28" t="s">
        <v>57</v>
      </c>
      <c r="E249" s="29">
        <v>61</v>
      </c>
      <c r="F249" s="29">
        <v>305</v>
      </c>
      <c r="G249" s="30">
        <v>11590</v>
      </c>
      <c r="H249" s="30">
        <v>405.65</v>
      </c>
      <c r="I249" s="30">
        <v>6142.7</v>
      </c>
      <c r="J249" s="31">
        <v>11408.04</v>
      </c>
    </row>
    <row r="250" spans="1:10" ht="21" customHeight="1">
      <c r="A250" s="22">
        <v>45597</v>
      </c>
      <c r="B250" s="23" t="s">
        <v>37</v>
      </c>
      <c r="C250" s="23" t="s">
        <v>33</v>
      </c>
      <c r="D250" s="23" t="s">
        <v>58</v>
      </c>
      <c r="E250" s="24">
        <v>82</v>
      </c>
      <c r="F250" s="24">
        <v>410</v>
      </c>
      <c r="G250" s="25">
        <v>15580</v>
      </c>
      <c r="H250" s="25">
        <v>1090.5999999999999</v>
      </c>
      <c r="I250" s="25">
        <v>8257.4</v>
      </c>
      <c r="J250" s="26">
        <v>14779.19</v>
      </c>
    </row>
    <row r="251" spans="1:10" ht="21" customHeight="1">
      <c r="A251" s="27">
        <v>45597</v>
      </c>
      <c r="B251" s="28" t="s">
        <v>37</v>
      </c>
      <c r="C251" s="28" t="s">
        <v>34</v>
      </c>
      <c r="D251" s="28" t="s">
        <v>57</v>
      </c>
      <c r="E251" s="29">
        <v>71</v>
      </c>
      <c r="F251" s="29">
        <v>142</v>
      </c>
      <c r="G251" s="30">
        <v>27690</v>
      </c>
      <c r="H251" s="30">
        <v>2492.1</v>
      </c>
      <c r="I251" s="30">
        <v>18829.2</v>
      </c>
      <c r="J251" s="31">
        <v>25701.86</v>
      </c>
    </row>
    <row r="252" spans="1:10" ht="21" customHeight="1">
      <c r="A252" s="22">
        <v>45597</v>
      </c>
      <c r="B252" s="23" t="s">
        <v>37</v>
      </c>
      <c r="C252" s="23" t="s">
        <v>34</v>
      </c>
      <c r="D252" s="23" t="s">
        <v>58</v>
      </c>
      <c r="E252" s="24">
        <v>87</v>
      </c>
      <c r="F252" s="24">
        <v>174</v>
      </c>
      <c r="G252" s="25">
        <v>33930</v>
      </c>
      <c r="H252" s="25">
        <v>4241.25</v>
      </c>
      <c r="I252" s="25">
        <v>23072.400000000001</v>
      </c>
      <c r="J252" s="26">
        <v>30282.53</v>
      </c>
    </row>
    <row r="253" spans="1:10" ht="21" customHeight="1">
      <c r="A253" s="27">
        <v>45597</v>
      </c>
      <c r="B253" s="28" t="s">
        <v>37</v>
      </c>
      <c r="C253" s="28" t="s">
        <v>35</v>
      </c>
      <c r="D253" s="28" t="s">
        <v>57</v>
      </c>
      <c r="E253" s="29">
        <v>76</v>
      </c>
      <c r="F253" s="29">
        <v>228</v>
      </c>
      <c r="G253" s="30">
        <v>32376</v>
      </c>
      <c r="H253" s="30">
        <v>1133.1600000000001</v>
      </c>
      <c r="I253" s="30">
        <v>19749.36</v>
      </c>
      <c r="J253" s="31">
        <v>31867.7</v>
      </c>
    </row>
    <row r="254" spans="1:10" ht="21" customHeight="1">
      <c r="A254" s="22">
        <v>45597</v>
      </c>
      <c r="B254" s="23" t="s">
        <v>37</v>
      </c>
      <c r="C254" s="23" t="s">
        <v>35</v>
      </c>
      <c r="D254" s="23" t="s">
        <v>58</v>
      </c>
      <c r="E254" s="24">
        <v>111</v>
      </c>
      <c r="F254" s="24">
        <v>333</v>
      </c>
      <c r="G254" s="25">
        <v>47286</v>
      </c>
      <c r="H254" s="25">
        <v>3310.02</v>
      </c>
      <c r="I254" s="25">
        <v>28844.46</v>
      </c>
      <c r="J254" s="26">
        <v>44855.5</v>
      </c>
    </row>
    <row r="255" spans="1:10" ht="21" customHeight="1">
      <c r="A255" s="27">
        <v>45597</v>
      </c>
      <c r="B255" s="28" t="s">
        <v>38</v>
      </c>
      <c r="C255" s="28" t="s">
        <v>33</v>
      </c>
      <c r="D255" s="28" t="s">
        <v>57</v>
      </c>
      <c r="E255" s="29">
        <v>76</v>
      </c>
      <c r="F255" s="29">
        <v>380</v>
      </c>
      <c r="G255" s="30">
        <v>14440</v>
      </c>
      <c r="H255" s="30">
        <v>505.4</v>
      </c>
      <c r="I255" s="30">
        <v>7653.2</v>
      </c>
      <c r="J255" s="31">
        <v>14213.29</v>
      </c>
    </row>
    <row r="256" spans="1:10" ht="21" customHeight="1">
      <c r="A256" s="22">
        <v>45597</v>
      </c>
      <c r="B256" s="23" t="s">
        <v>38</v>
      </c>
      <c r="C256" s="23" t="s">
        <v>33</v>
      </c>
      <c r="D256" s="23" t="s">
        <v>58</v>
      </c>
      <c r="E256" s="24">
        <v>89</v>
      </c>
      <c r="F256" s="24">
        <v>445</v>
      </c>
      <c r="G256" s="25">
        <v>16910</v>
      </c>
      <c r="H256" s="25">
        <v>1183.7</v>
      </c>
      <c r="I256" s="25">
        <v>8962.2999999999993</v>
      </c>
      <c r="J256" s="26">
        <v>16040.83</v>
      </c>
    </row>
    <row r="257" spans="1:10" ht="21" customHeight="1">
      <c r="A257" s="27">
        <v>45597</v>
      </c>
      <c r="B257" s="28" t="s">
        <v>38</v>
      </c>
      <c r="C257" s="28" t="s">
        <v>34</v>
      </c>
      <c r="D257" s="28" t="s">
        <v>57</v>
      </c>
      <c r="E257" s="29">
        <v>88</v>
      </c>
      <c r="F257" s="29">
        <v>176</v>
      </c>
      <c r="G257" s="30">
        <v>34320</v>
      </c>
      <c r="H257" s="30">
        <v>3088.8</v>
      </c>
      <c r="I257" s="30">
        <v>23337.599999999999</v>
      </c>
      <c r="J257" s="31">
        <v>31855.82</v>
      </c>
    </row>
    <row r="258" spans="1:10" ht="21" customHeight="1">
      <c r="A258" s="22">
        <v>45597</v>
      </c>
      <c r="B258" s="23" t="s">
        <v>38</v>
      </c>
      <c r="C258" s="23" t="s">
        <v>34</v>
      </c>
      <c r="D258" s="23" t="s">
        <v>58</v>
      </c>
      <c r="E258" s="24">
        <v>110</v>
      </c>
      <c r="F258" s="24">
        <v>220</v>
      </c>
      <c r="G258" s="25">
        <v>42900</v>
      </c>
      <c r="H258" s="25">
        <v>5362.5</v>
      </c>
      <c r="I258" s="25">
        <v>29172</v>
      </c>
      <c r="J258" s="26">
        <v>38288.25</v>
      </c>
    </row>
    <row r="259" spans="1:10" ht="21" customHeight="1">
      <c r="A259" s="27">
        <v>45597</v>
      </c>
      <c r="B259" s="28" t="s">
        <v>38</v>
      </c>
      <c r="C259" s="28" t="s">
        <v>35</v>
      </c>
      <c r="D259" s="28" t="s">
        <v>57</v>
      </c>
      <c r="E259" s="29">
        <v>96</v>
      </c>
      <c r="F259" s="29">
        <v>288</v>
      </c>
      <c r="G259" s="30">
        <v>40896</v>
      </c>
      <c r="H259" s="30">
        <v>1431.36</v>
      </c>
      <c r="I259" s="30">
        <v>24946.560000000001</v>
      </c>
      <c r="J259" s="31">
        <v>40253.93</v>
      </c>
    </row>
    <row r="260" spans="1:10" ht="21" customHeight="1">
      <c r="A260" s="22">
        <v>45597</v>
      </c>
      <c r="B260" s="23" t="s">
        <v>38</v>
      </c>
      <c r="C260" s="23" t="s">
        <v>35</v>
      </c>
      <c r="D260" s="23" t="s">
        <v>58</v>
      </c>
      <c r="E260" s="24">
        <v>118</v>
      </c>
      <c r="F260" s="24">
        <v>354</v>
      </c>
      <c r="G260" s="25">
        <v>50268</v>
      </c>
      <c r="H260" s="25">
        <v>3518.76</v>
      </c>
      <c r="I260" s="25">
        <v>30663.48</v>
      </c>
      <c r="J260" s="26">
        <v>47684.22</v>
      </c>
    </row>
    <row r="261" spans="1:10" ht="21" customHeight="1">
      <c r="A261" s="27">
        <v>45597</v>
      </c>
      <c r="B261" s="28" t="s">
        <v>39</v>
      </c>
      <c r="C261" s="28" t="s">
        <v>33</v>
      </c>
      <c r="D261" s="28" t="s">
        <v>57</v>
      </c>
      <c r="E261" s="29">
        <v>84</v>
      </c>
      <c r="F261" s="29">
        <v>420</v>
      </c>
      <c r="G261" s="30">
        <v>15960</v>
      </c>
      <c r="H261" s="30">
        <v>558.6</v>
      </c>
      <c r="I261" s="30">
        <v>8458.7999999999993</v>
      </c>
      <c r="J261" s="31">
        <v>15709.43</v>
      </c>
    </row>
    <row r="262" spans="1:10" ht="21" customHeight="1">
      <c r="A262" s="22">
        <v>45597</v>
      </c>
      <c r="B262" s="23" t="s">
        <v>39</v>
      </c>
      <c r="C262" s="23" t="s">
        <v>33</v>
      </c>
      <c r="D262" s="23" t="s">
        <v>58</v>
      </c>
      <c r="E262" s="24">
        <v>106</v>
      </c>
      <c r="F262" s="24">
        <v>530</v>
      </c>
      <c r="G262" s="25">
        <v>20140</v>
      </c>
      <c r="H262" s="25">
        <v>1409.8</v>
      </c>
      <c r="I262" s="25">
        <v>10674.2</v>
      </c>
      <c r="J262" s="26">
        <v>19104.8</v>
      </c>
    </row>
    <row r="263" spans="1:10" ht="21" customHeight="1">
      <c r="A263" s="27">
        <v>45597</v>
      </c>
      <c r="B263" s="28" t="s">
        <v>39</v>
      </c>
      <c r="C263" s="28" t="s">
        <v>34</v>
      </c>
      <c r="D263" s="28" t="s">
        <v>57</v>
      </c>
      <c r="E263" s="29">
        <v>91</v>
      </c>
      <c r="F263" s="29">
        <v>182</v>
      </c>
      <c r="G263" s="30">
        <v>35490</v>
      </c>
      <c r="H263" s="30">
        <v>3194.1</v>
      </c>
      <c r="I263" s="30">
        <v>24133.200000000001</v>
      </c>
      <c r="J263" s="31">
        <v>32941.82</v>
      </c>
    </row>
    <row r="264" spans="1:10" ht="21" customHeight="1">
      <c r="A264" s="22">
        <v>45597</v>
      </c>
      <c r="B264" s="23" t="s">
        <v>39</v>
      </c>
      <c r="C264" s="23" t="s">
        <v>34</v>
      </c>
      <c r="D264" s="23" t="s">
        <v>58</v>
      </c>
      <c r="E264" s="24">
        <v>107</v>
      </c>
      <c r="F264" s="24">
        <v>214</v>
      </c>
      <c r="G264" s="25">
        <v>41730</v>
      </c>
      <c r="H264" s="25">
        <v>5216.25</v>
      </c>
      <c r="I264" s="25">
        <v>28376.400000000001</v>
      </c>
      <c r="J264" s="26">
        <v>37244.03</v>
      </c>
    </row>
    <row r="265" spans="1:10" ht="21" customHeight="1">
      <c r="A265" s="27">
        <v>45597</v>
      </c>
      <c r="B265" s="28" t="s">
        <v>39</v>
      </c>
      <c r="C265" s="28" t="s">
        <v>35</v>
      </c>
      <c r="D265" s="28" t="s">
        <v>57</v>
      </c>
      <c r="E265" s="29">
        <v>97</v>
      </c>
      <c r="F265" s="29">
        <v>291</v>
      </c>
      <c r="G265" s="30">
        <v>41322</v>
      </c>
      <c r="H265" s="30">
        <v>1446.27</v>
      </c>
      <c r="I265" s="30">
        <v>25206.42</v>
      </c>
      <c r="J265" s="31">
        <v>40673.24</v>
      </c>
    </row>
    <row r="266" spans="1:10" ht="21" customHeight="1">
      <c r="A266" s="22">
        <v>45597</v>
      </c>
      <c r="B266" s="23" t="s">
        <v>39</v>
      </c>
      <c r="C266" s="23" t="s">
        <v>35</v>
      </c>
      <c r="D266" s="23" t="s">
        <v>58</v>
      </c>
      <c r="E266" s="24">
        <v>126</v>
      </c>
      <c r="F266" s="24">
        <v>378</v>
      </c>
      <c r="G266" s="25">
        <v>53676</v>
      </c>
      <c r="H266" s="25">
        <v>3757.32</v>
      </c>
      <c r="I266" s="25">
        <v>32742.36</v>
      </c>
      <c r="J266" s="26">
        <v>50917.05</v>
      </c>
    </row>
    <row r="267" spans="1:10" ht="21" customHeight="1">
      <c r="A267" s="27">
        <v>45597</v>
      </c>
      <c r="B267" s="28" t="s">
        <v>40</v>
      </c>
      <c r="C267" s="28" t="s">
        <v>33</v>
      </c>
      <c r="D267" s="28" t="s">
        <v>57</v>
      </c>
      <c r="E267" s="29">
        <v>87</v>
      </c>
      <c r="F267" s="29">
        <v>435</v>
      </c>
      <c r="G267" s="30">
        <v>16530</v>
      </c>
      <c r="H267" s="30">
        <v>578.54999999999995</v>
      </c>
      <c r="I267" s="30">
        <v>8760.9</v>
      </c>
      <c r="J267" s="31">
        <v>16270.48</v>
      </c>
    </row>
    <row r="268" spans="1:10" ht="21" customHeight="1">
      <c r="A268" s="22">
        <v>45597</v>
      </c>
      <c r="B268" s="23" t="s">
        <v>40</v>
      </c>
      <c r="C268" s="23" t="s">
        <v>33</v>
      </c>
      <c r="D268" s="23" t="s">
        <v>58</v>
      </c>
      <c r="E268" s="24">
        <v>121</v>
      </c>
      <c r="F268" s="24">
        <v>605</v>
      </c>
      <c r="G268" s="25">
        <v>22990</v>
      </c>
      <c r="H268" s="25">
        <v>1609.3</v>
      </c>
      <c r="I268" s="25">
        <v>12184.7</v>
      </c>
      <c r="J268" s="26">
        <v>21808.31</v>
      </c>
    </row>
    <row r="269" spans="1:10" ht="21" customHeight="1">
      <c r="A269" s="27">
        <v>45597</v>
      </c>
      <c r="B269" s="28" t="s">
        <v>40</v>
      </c>
      <c r="C269" s="28" t="s">
        <v>34</v>
      </c>
      <c r="D269" s="28" t="s">
        <v>57</v>
      </c>
      <c r="E269" s="29">
        <v>105</v>
      </c>
      <c r="F269" s="29">
        <v>210</v>
      </c>
      <c r="G269" s="30">
        <v>40950</v>
      </c>
      <c r="H269" s="30">
        <v>3685.5</v>
      </c>
      <c r="I269" s="30">
        <v>27846</v>
      </c>
      <c r="J269" s="31">
        <v>38009.79</v>
      </c>
    </row>
    <row r="270" spans="1:10" ht="21" customHeight="1">
      <c r="A270" s="22">
        <v>45597</v>
      </c>
      <c r="B270" s="23" t="s">
        <v>40</v>
      </c>
      <c r="C270" s="23" t="s">
        <v>34</v>
      </c>
      <c r="D270" s="23" t="s">
        <v>58</v>
      </c>
      <c r="E270" s="24">
        <v>118</v>
      </c>
      <c r="F270" s="24">
        <v>236</v>
      </c>
      <c r="G270" s="25">
        <v>46020</v>
      </c>
      <c r="H270" s="25">
        <v>5752.5</v>
      </c>
      <c r="I270" s="25">
        <v>31293.599999999999</v>
      </c>
      <c r="J270" s="26">
        <v>41072.85</v>
      </c>
    </row>
    <row r="271" spans="1:10" ht="21" customHeight="1">
      <c r="A271" s="27">
        <v>45597</v>
      </c>
      <c r="B271" s="28" t="s">
        <v>40</v>
      </c>
      <c r="C271" s="28" t="s">
        <v>35</v>
      </c>
      <c r="D271" s="28" t="s">
        <v>57</v>
      </c>
      <c r="E271" s="29">
        <v>118</v>
      </c>
      <c r="F271" s="29">
        <v>354</v>
      </c>
      <c r="G271" s="30">
        <v>50268</v>
      </c>
      <c r="H271" s="30">
        <v>1759.38</v>
      </c>
      <c r="I271" s="30">
        <v>30663.48</v>
      </c>
      <c r="J271" s="31">
        <v>49478.79</v>
      </c>
    </row>
    <row r="272" spans="1:10" ht="21" customHeight="1">
      <c r="A272" s="22">
        <v>45597</v>
      </c>
      <c r="B272" s="23" t="s">
        <v>40</v>
      </c>
      <c r="C272" s="23" t="s">
        <v>35</v>
      </c>
      <c r="D272" s="23" t="s">
        <v>58</v>
      </c>
      <c r="E272" s="24">
        <v>135</v>
      </c>
      <c r="F272" s="24">
        <v>405</v>
      </c>
      <c r="G272" s="25">
        <v>57510</v>
      </c>
      <c r="H272" s="25">
        <v>4025.7</v>
      </c>
      <c r="I272" s="25">
        <v>35081.1</v>
      </c>
      <c r="J272" s="26">
        <v>54553.99</v>
      </c>
    </row>
    <row r="273" spans="1:10" ht="21" customHeight="1">
      <c r="A273" s="27">
        <v>45627</v>
      </c>
      <c r="B273" s="28" t="s">
        <v>37</v>
      </c>
      <c r="C273" s="28" t="s">
        <v>33</v>
      </c>
      <c r="D273" s="28" t="s">
        <v>57</v>
      </c>
      <c r="E273" s="29">
        <v>69</v>
      </c>
      <c r="F273" s="29">
        <v>345</v>
      </c>
      <c r="G273" s="30">
        <v>13110</v>
      </c>
      <c r="H273" s="30">
        <v>458.85</v>
      </c>
      <c r="I273" s="30">
        <v>6948.3</v>
      </c>
      <c r="J273" s="31">
        <v>12904.17</v>
      </c>
    </row>
    <row r="274" spans="1:10" ht="21" customHeight="1">
      <c r="A274" s="22">
        <v>45627</v>
      </c>
      <c r="B274" s="23" t="s">
        <v>37</v>
      </c>
      <c r="C274" s="23" t="s">
        <v>33</v>
      </c>
      <c r="D274" s="23" t="s">
        <v>58</v>
      </c>
      <c r="E274" s="24">
        <v>89</v>
      </c>
      <c r="F274" s="24">
        <v>445</v>
      </c>
      <c r="G274" s="25">
        <v>16910</v>
      </c>
      <c r="H274" s="25">
        <v>1183.7</v>
      </c>
      <c r="I274" s="25">
        <v>8962.2999999999993</v>
      </c>
      <c r="J274" s="26">
        <v>16040.83</v>
      </c>
    </row>
    <row r="275" spans="1:10" ht="21" customHeight="1">
      <c r="A275" s="27">
        <v>45627</v>
      </c>
      <c r="B275" s="28" t="s">
        <v>37</v>
      </c>
      <c r="C275" s="28" t="s">
        <v>34</v>
      </c>
      <c r="D275" s="28" t="s">
        <v>57</v>
      </c>
      <c r="E275" s="29">
        <v>75</v>
      </c>
      <c r="F275" s="29">
        <v>150</v>
      </c>
      <c r="G275" s="30">
        <v>29250</v>
      </c>
      <c r="H275" s="30">
        <v>2632.5</v>
      </c>
      <c r="I275" s="30">
        <v>19890</v>
      </c>
      <c r="J275" s="31">
        <v>27149.85</v>
      </c>
    </row>
    <row r="276" spans="1:10" ht="21" customHeight="1">
      <c r="A276" s="22">
        <v>45627</v>
      </c>
      <c r="B276" s="23" t="s">
        <v>37</v>
      </c>
      <c r="C276" s="23" t="s">
        <v>34</v>
      </c>
      <c r="D276" s="23" t="s">
        <v>58</v>
      </c>
      <c r="E276" s="24">
        <v>102</v>
      </c>
      <c r="F276" s="24">
        <v>204</v>
      </c>
      <c r="G276" s="25">
        <v>39780</v>
      </c>
      <c r="H276" s="25">
        <v>4972.5</v>
      </c>
      <c r="I276" s="25">
        <v>27050.400000000001</v>
      </c>
      <c r="J276" s="26">
        <v>35503.65</v>
      </c>
    </row>
    <row r="277" spans="1:10" ht="21" customHeight="1">
      <c r="A277" s="27">
        <v>45627</v>
      </c>
      <c r="B277" s="28" t="s">
        <v>37</v>
      </c>
      <c r="C277" s="28" t="s">
        <v>35</v>
      </c>
      <c r="D277" s="28" t="s">
        <v>57</v>
      </c>
      <c r="E277" s="29">
        <v>91</v>
      </c>
      <c r="F277" s="29">
        <v>273</v>
      </c>
      <c r="G277" s="30">
        <v>38766</v>
      </c>
      <c r="H277" s="30">
        <v>1356.81</v>
      </c>
      <c r="I277" s="30">
        <v>23647.26</v>
      </c>
      <c r="J277" s="31">
        <v>38157.370000000003</v>
      </c>
    </row>
    <row r="278" spans="1:10" ht="21" customHeight="1">
      <c r="A278" s="22">
        <v>45627</v>
      </c>
      <c r="B278" s="23" t="s">
        <v>37</v>
      </c>
      <c r="C278" s="23" t="s">
        <v>35</v>
      </c>
      <c r="D278" s="23" t="s">
        <v>58</v>
      </c>
      <c r="E278" s="24">
        <v>105</v>
      </c>
      <c r="F278" s="24">
        <v>315</v>
      </c>
      <c r="G278" s="25">
        <v>44730</v>
      </c>
      <c r="H278" s="25">
        <v>3131.1</v>
      </c>
      <c r="I278" s="25">
        <v>27285.3</v>
      </c>
      <c r="J278" s="26">
        <v>42430.879999999997</v>
      </c>
    </row>
    <row r="279" spans="1:10" ht="21" customHeight="1">
      <c r="A279" s="27">
        <v>45627</v>
      </c>
      <c r="B279" s="28" t="s">
        <v>38</v>
      </c>
      <c r="C279" s="28" t="s">
        <v>33</v>
      </c>
      <c r="D279" s="28" t="s">
        <v>57</v>
      </c>
      <c r="E279" s="29">
        <v>84</v>
      </c>
      <c r="F279" s="29">
        <v>420</v>
      </c>
      <c r="G279" s="30">
        <v>15960</v>
      </c>
      <c r="H279" s="30">
        <v>558.6</v>
      </c>
      <c r="I279" s="30">
        <v>8458.7999999999993</v>
      </c>
      <c r="J279" s="31">
        <v>15709.43</v>
      </c>
    </row>
    <row r="280" spans="1:10" ht="21" customHeight="1">
      <c r="A280" s="22">
        <v>45627</v>
      </c>
      <c r="B280" s="23" t="s">
        <v>38</v>
      </c>
      <c r="C280" s="23" t="s">
        <v>33</v>
      </c>
      <c r="D280" s="23" t="s">
        <v>58</v>
      </c>
      <c r="E280" s="24">
        <v>98</v>
      </c>
      <c r="F280" s="24">
        <v>490</v>
      </c>
      <c r="G280" s="25">
        <v>18620</v>
      </c>
      <c r="H280" s="25">
        <v>1303.4000000000001</v>
      </c>
      <c r="I280" s="25">
        <v>9868.6</v>
      </c>
      <c r="J280" s="26">
        <v>17662.93</v>
      </c>
    </row>
    <row r="281" spans="1:10" ht="21" customHeight="1">
      <c r="A281" s="27">
        <v>45627</v>
      </c>
      <c r="B281" s="28" t="s">
        <v>38</v>
      </c>
      <c r="C281" s="28" t="s">
        <v>34</v>
      </c>
      <c r="D281" s="28" t="s">
        <v>57</v>
      </c>
      <c r="E281" s="29">
        <v>81</v>
      </c>
      <c r="F281" s="29">
        <v>162</v>
      </c>
      <c r="G281" s="30">
        <v>31590</v>
      </c>
      <c r="H281" s="30">
        <v>2843.1</v>
      </c>
      <c r="I281" s="30">
        <v>21481.200000000001</v>
      </c>
      <c r="J281" s="31">
        <v>29321.84</v>
      </c>
    </row>
    <row r="282" spans="1:10" ht="21" customHeight="1">
      <c r="A282" s="22">
        <v>45627</v>
      </c>
      <c r="B282" s="23" t="s">
        <v>38</v>
      </c>
      <c r="C282" s="23" t="s">
        <v>34</v>
      </c>
      <c r="D282" s="23" t="s">
        <v>58</v>
      </c>
      <c r="E282" s="24">
        <v>113</v>
      </c>
      <c r="F282" s="24">
        <v>226</v>
      </c>
      <c r="G282" s="25">
        <v>44070</v>
      </c>
      <c r="H282" s="25">
        <v>5508.75</v>
      </c>
      <c r="I282" s="25">
        <v>29967.599999999999</v>
      </c>
      <c r="J282" s="26">
        <v>39332.480000000003</v>
      </c>
    </row>
    <row r="283" spans="1:10" ht="21" customHeight="1">
      <c r="A283" s="27">
        <v>45627</v>
      </c>
      <c r="B283" s="28" t="s">
        <v>38</v>
      </c>
      <c r="C283" s="28" t="s">
        <v>35</v>
      </c>
      <c r="D283" s="28" t="s">
        <v>57</v>
      </c>
      <c r="E283" s="29">
        <v>104</v>
      </c>
      <c r="F283" s="29">
        <v>312</v>
      </c>
      <c r="G283" s="30">
        <v>44304</v>
      </c>
      <c r="H283" s="30">
        <v>1550.64</v>
      </c>
      <c r="I283" s="30">
        <v>27025.439999999999</v>
      </c>
      <c r="J283" s="31">
        <v>43608.43</v>
      </c>
    </row>
    <row r="284" spans="1:10" ht="21" customHeight="1">
      <c r="A284" s="22">
        <v>45627</v>
      </c>
      <c r="B284" s="23" t="s">
        <v>38</v>
      </c>
      <c r="C284" s="23" t="s">
        <v>35</v>
      </c>
      <c r="D284" s="23" t="s">
        <v>58</v>
      </c>
      <c r="E284" s="24">
        <v>120</v>
      </c>
      <c r="F284" s="24">
        <v>360</v>
      </c>
      <c r="G284" s="25">
        <v>51120</v>
      </c>
      <c r="H284" s="25">
        <v>3578.4</v>
      </c>
      <c r="I284" s="25">
        <v>31183.200000000001</v>
      </c>
      <c r="J284" s="26">
        <v>48492.43</v>
      </c>
    </row>
    <row r="285" spans="1:10" ht="21" customHeight="1">
      <c r="A285" s="27">
        <v>45627</v>
      </c>
      <c r="B285" s="28" t="s">
        <v>39</v>
      </c>
      <c r="C285" s="28" t="s">
        <v>33</v>
      </c>
      <c r="D285" s="28" t="s">
        <v>57</v>
      </c>
      <c r="E285" s="29">
        <v>95</v>
      </c>
      <c r="F285" s="29">
        <v>475</v>
      </c>
      <c r="G285" s="30">
        <v>18050</v>
      </c>
      <c r="H285" s="30">
        <v>631.75</v>
      </c>
      <c r="I285" s="30">
        <v>9566.5</v>
      </c>
      <c r="J285" s="31">
        <v>17766.62</v>
      </c>
    </row>
    <row r="286" spans="1:10" ht="21" customHeight="1">
      <c r="A286" s="22">
        <v>45627</v>
      </c>
      <c r="B286" s="23" t="s">
        <v>39</v>
      </c>
      <c r="C286" s="23" t="s">
        <v>33</v>
      </c>
      <c r="D286" s="23" t="s">
        <v>58</v>
      </c>
      <c r="E286" s="24">
        <v>116</v>
      </c>
      <c r="F286" s="24">
        <v>580</v>
      </c>
      <c r="G286" s="25">
        <v>22040</v>
      </c>
      <c r="H286" s="25">
        <v>1542.8</v>
      </c>
      <c r="I286" s="25">
        <v>11681.2</v>
      </c>
      <c r="J286" s="26">
        <v>20907.14</v>
      </c>
    </row>
    <row r="287" spans="1:10" ht="21" customHeight="1">
      <c r="A287" s="27">
        <v>45627</v>
      </c>
      <c r="B287" s="28" t="s">
        <v>39</v>
      </c>
      <c r="C287" s="28" t="s">
        <v>34</v>
      </c>
      <c r="D287" s="28" t="s">
        <v>57</v>
      </c>
      <c r="E287" s="29">
        <v>93</v>
      </c>
      <c r="F287" s="29">
        <v>186</v>
      </c>
      <c r="G287" s="30">
        <v>36270</v>
      </c>
      <c r="H287" s="30">
        <v>3264.3</v>
      </c>
      <c r="I287" s="30">
        <v>24663.599999999999</v>
      </c>
      <c r="J287" s="31">
        <v>33665.81</v>
      </c>
    </row>
    <row r="288" spans="1:10" ht="21" customHeight="1">
      <c r="A288" s="22">
        <v>45627</v>
      </c>
      <c r="B288" s="23" t="s">
        <v>39</v>
      </c>
      <c r="C288" s="23" t="s">
        <v>34</v>
      </c>
      <c r="D288" s="23" t="s">
        <v>58</v>
      </c>
      <c r="E288" s="24">
        <v>130</v>
      </c>
      <c r="F288" s="24">
        <v>260</v>
      </c>
      <c r="G288" s="25">
        <v>50700</v>
      </c>
      <c r="H288" s="25">
        <v>6337.5</v>
      </c>
      <c r="I288" s="25">
        <v>34476</v>
      </c>
      <c r="J288" s="26">
        <v>45249.75</v>
      </c>
    </row>
    <row r="289" spans="1:10" ht="21" customHeight="1">
      <c r="A289" s="27">
        <v>45627</v>
      </c>
      <c r="B289" s="28" t="s">
        <v>39</v>
      </c>
      <c r="C289" s="28" t="s">
        <v>35</v>
      </c>
      <c r="D289" s="28" t="s">
        <v>57</v>
      </c>
      <c r="E289" s="29">
        <v>111</v>
      </c>
      <c r="F289" s="29">
        <v>333</v>
      </c>
      <c r="G289" s="30">
        <v>47286</v>
      </c>
      <c r="H289" s="30">
        <v>1655.01</v>
      </c>
      <c r="I289" s="30">
        <v>28844.46</v>
      </c>
      <c r="J289" s="31">
        <v>46543.61</v>
      </c>
    </row>
    <row r="290" spans="1:10" ht="21" customHeight="1">
      <c r="A290" s="22">
        <v>45627</v>
      </c>
      <c r="B290" s="23" t="s">
        <v>39</v>
      </c>
      <c r="C290" s="23" t="s">
        <v>35</v>
      </c>
      <c r="D290" s="23" t="s">
        <v>58</v>
      </c>
      <c r="E290" s="24">
        <v>126</v>
      </c>
      <c r="F290" s="24">
        <v>378</v>
      </c>
      <c r="G290" s="25">
        <v>53676</v>
      </c>
      <c r="H290" s="25">
        <v>3757.32</v>
      </c>
      <c r="I290" s="25">
        <v>32742.36</v>
      </c>
      <c r="J290" s="26">
        <v>50917.05</v>
      </c>
    </row>
    <row r="291" spans="1:10" ht="21" customHeight="1">
      <c r="A291" s="27">
        <v>45627</v>
      </c>
      <c r="B291" s="28" t="s">
        <v>40</v>
      </c>
      <c r="C291" s="28" t="s">
        <v>33</v>
      </c>
      <c r="D291" s="28" t="s">
        <v>57</v>
      </c>
      <c r="E291" s="29">
        <v>94</v>
      </c>
      <c r="F291" s="29">
        <v>470</v>
      </c>
      <c r="G291" s="30">
        <v>17860</v>
      </c>
      <c r="H291" s="30">
        <v>625.1</v>
      </c>
      <c r="I291" s="30">
        <v>9465.7999999999993</v>
      </c>
      <c r="J291" s="31">
        <v>17579.599999999999</v>
      </c>
    </row>
    <row r="292" spans="1:10" ht="21" customHeight="1">
      <c r="A292" s="22">
        <v>45627</v>
      </c>
      <c r="B292" s="23" t="s">
        <v>40</v>
      </c>
      <c r="C292" s="23" t="s">
        <v>33</v>
      </c>
      <c r="D292" s="23" t="s">
        <v>58</v>
      </c>
      <c r="E292" s="24">
        <v>120</v>
      </c>
      <c r="F292" s="24">
        <v>600</v>
      </c>
      <c r="G292" s="25">
        <v>22800</v>
      </c>
      <c r="H292" s="25">
        <v>1596</v>
      </c>
      <c r="I292" s="25">
        <v>12084</v>
      </c>
      <c r="J292" s="26">
        <v>21628.080000000002</v>
      </c>
    </row>
    <row r="293" spans="1:10" ht="21" customHeight="1">
      <c r="A293" s="27">
        <v>45627</v>
      </c>
      <c r="B293" s="28" t="s">
        <v>40</v>
      </c>
      <c r="C293" s="28" t="s">
        <v>34</v>
      </c>
      <c r="D293" s="28" t="s">
        <v>57</v>
      </c>
      <c r="E293" s="29">
        <v>116</v>
      </c>
      <c r="F293" s="29">
        <v>232</v>
      </c>
      <c r="G293" s="30">
        <v>45240</v>
      </c>
      <c r="H293" s="30">
        <v>4071.6</v>
      </c>
      <c r="I293" s="30">
        <v>30763.200000000001</v>
      </c>
      <c r="J293" s="31">
        <v>41991.77</v>
      </c>
    </row>
    <row r="294" spans="1:10" ht="21" customHeight="1">
      <c r="A294" s="22">
        <v>45627</v>
      </c>
      <c r="B294" s="23" t="s">
        <v>40</v>
      </c>
      <c r="C294" s="23" t="s">
        <v>34</v>
      </c>
      <c r="D294" s="23" t="s">
        <v>58</v>
      </c>
      <c r="E294" s="24">
        <v>141</v>
      </c>
      <c r="F294" s="24">
        <v>282</v>
      </c>
      <c r="G294" s="25">
        <v>54990</v>
      </c>
      <c r="H294" s="25">
        <v>6873.75</v>
      </c>
      <c r="I294" s="25">
        <v>37393.199999999997</v>
      </c>
      <c r="J294" s="26">
        <v>49078.58</v>
      </c>
    </row>
    <row r="295" spans="1:10" ht="21" customHeight="1">
      <c r="A295" s="27">
        <v>45627</v>
      </c>
      <c r="B295" s="28" t="s">
        <v>40</v>
      </c>
      <c r="C295" s="28" t="s">
        <v>35</v>
      </c>
      <c r="D295" s="28" t="s">
        <v>57</v>
      </c>
      <c r="E295" s="29">
        <v>120</v>
      </c>
      <c r="F295" s="29">
        <v>360</v>
      </c>
      <c r="G295" s="30">
        <v>51120</v>
      </c>
      <c r="H295" s="30">
        <v>1789.2</v>
      </c>
      <c r="I295" s="30">
        <v>31183.200000000001</v>
      </c>
      <c r="J295" s="31">
        <v>50317.42</v>
      </c>
    </row>
    <row r="296" spans="1:10" ht="21" customHeight="1">
      <c r="A296" s="22">
        <v>45627</v>
      </c>
      <c r="B296" s="23" t="s">
        <v>40</v>
      </c>
      <c r="C296" s="23" t="s">
        <v>35</v>
      </c>
      <c r="D296" s="23" t="s">
        <v>58</v>
      </c>
      <c r="E296" s="24">
        <v>136</v>
      </c>
      <c r="F296" s="24">
        <v>408</v>
      </c>
      <c r="G296" s="25">
        <v>57936</v>
      </c>
      <c r="H296" s="25">
        <v>4055.52</v>
      </c>
      <c r="I296" s="25">
        <v>35340.959999999999</v>
      </c>
      <c r="J296" s="26">
        <v>54958.09</v>
      </c>
    </row>
    <row r="297" spans="1:10" ht="21" customHeight="1">
      <c r="A297" s="27">
        <v>45658</v>
      </c>
      <c r="B297" s="28" t="s">
        <v>37</v>
      </c>
      <c r="C297" s="28" t="s">
        <v>33</v>
      </c>
      <c r="D297" s="28" t="s">
        <v>57</v>
      </c>
      <c r="E297" s="29">
        <v>42</v>
      </c>
      <c r="F297" s="29">
        <v>210</v>
      </c>
      <c r="G297" s="30">
        <v>8179.5</v>
      </c>
      <c r="H297" s="30">
        <v>286.27999999999997</v>
      </c>
      <c r="I297" s="30">
        <v>4335.1400000000003</v>
      </c>
      <c r="J297" s="31">
        <v>8269.09</v>
      </c>
    </row>
    <row r="298" spans="1:10" ht="21" customHeight="1">
      <c r="A298" s="22">
        <v>45658</v>
      </c>
      <c r="B298" s="23" t="s">
        <v>37</v>
      </c>
      <c r="C298" s="23" t="s">
        <v>33</v>
      </c>
      <c r="D298" s="23" t="s">
        <v>58</v>
      </c>
      <c r="E298" s="24">
        <v>58</v>
      </c>
      <c r="F298" s="24">
        <v>290</v>
      </c>
      <c r="G298" s="25">
        <v>11295.5</v>
      </c>
      <c r="H298" s="25">
        <v>790.69</v>
      </c>
      <c r="I298" s="25">
        <v>5986.62</v>
      </c>
      <c r="J298" s="26">
        <v>10690.35</v>
      </c>
    </row>
    <row r="299" spans="1:10" ht="21" customHeight="1">
      <c r="A299" s="27">
        <v>45658</v>
      </c>
      <c r="B299" s="28" t="s">
        <v>37</v>
      </c>
      <c r="C299" s="28" t="s">
        <v>34</v>
      </c>
      <c r="D299" s="28" t="s">
        <v>57</v>
      </c>
      <c r="E299" s="29">
        <v>51</v>
      </c>
      <c r="F299" s="29">
        <v>102</v>
      </c>
      <c r="G299" s="30">
        <v>20387.25</v>
      </c>
      <c r="H299" s="30">
        <v>1834.85</v>
      </c>
      <c r="I299" s="30">
        <v>14373.01</v>
      </c>
      <c r="J299" s="31">
        <v>16396.38</v>
      </c>
    </row>
    <row r="300" spans="1:10" ht="21" customHeight="1">
      <c r="A300" s="22">
        <v>45658</v>
      </c>
      <c r="B300" s="23" t="s">
        <v>37</v>
      </c>
      <c r="C300" s="23" t="s">
        <v>34</v>
      </c>
      <c r="D300" s="23" t="s">
        <v>58</v>
      </c>
      <c r="E300" s="24">
        <v>65</v>
      </c>
      <c r="F300" s="24">
        <v>130</v>
      </c>
      <c r="G300" s="25">
        <v>25983.75</v>
      </c>
      <c r="H300" s="25">
        <v>3247.97</v>
      </c>
      <c r="I300" s="25">
        <v>18318.54</v>
      </c>
      <c r="J300" s="26">
        <v>22147.13</v>
      </c>
    </row>
    <row r="301" spans="1:10" ht="21" customHeight="1">
      <c r="A301" s="27">
        <v>45658</v>
      </c>
      <c r="B301" s="28" t="s">
        <v>37</v>
      </c>
      <c r="C301" s="28" t="s">
        <v>35</v>
      </c>
      <c r="D301" s="28" t="s">
        <v>57</v>
      </c>
      <c r="E301" s="29">
        <v>62</v>
      </c>
      <c r="F301" s="29">
        <v>186</v>
      </c>
      <c r="G301" s="30">
        <v>27072.3</v>
      </c>
      <c r="H301" s="30">
        <v>947.53</v>
      </c>
      <c r="I301" s="30">
        <v>16514.099999999999</v>
      </c>
      <c r="J301" s="31">
        <v>22609.95</v>
      </c>
    </row>
    <row r="302" spans="1:10" ht="21" customHeight="1">
      <c r="A302" s="22">
        <v>45658</v>
      </c>
      <c r="B302" s="23" t="s">
        <v>37</v>
      </c>
      <c r="C302" s="23" t="s">
        <v>35</v>
      </c>
      <c r="D302" s="23" t="s">
        <v>58</v>
      </c>
      <c r="E302" s="24">
        <v>73</v>
      </c>
      <c r="F302" s="24">
        <v>219</v>
      </c>
      <c r="G302" s="25">
        <v>31875.45</v>
      </c>
      <c r="H302" s="25">
        <v>2231.2800000000002</v>
      </c>
      <c r="I302" s="25">
        <v>19444.02</v>
      </c>
      <c r="J302" s="26">
        <v>27891.07</v>
      </c>
    </row>
    <row r="303" spans="1:10" ht="21" customHeight="1">
      <c r="A303" s="27">
        <v>45658</v>
      </c>
      <c r="B303" s="28" t="s">
        <v>38</v>
      </c>
      <c r="C303" s="28" t="s">
        <v>33</v>
      </c>
      <c r="D303" s="28" t="s">
        <v>57</v>
      </c>
      <c r="E303" s="29">
        <v>51</v>
      </c>
      <c r="F303" s="29">
        <v>255</v>
      </c>
      <c r="G303" s="30">
        <v>9932.25</v>
      </c>
      <c r="H303" s="30">
        <v>347.63</v>
      </c>
      <c r="I303" s="30">
        <v>5264.09</v>
      </c>
      <c r="J303" s="31">
        <v>9882.57</v>
      </c>
    </row>
    <row r="304" spans="1:10" ht="21" customHeight="1">
      <c r="A304" s="22">
        <v>45658</v>
      </c>
      <c r="B304" s="23" t="s">
        <v>38</v>
      </c>
      <c r="C304" s="23" t="s">
        <v>33</v>
      </c>
      <c r="D304" s="23" t="s">
        <v>58</v>
      </c>
      <c r="E304" s="24">
        <v>69</v>
      </c>
      <c r="F304" s="24">
        <v>345</v>
      </c>
      <c r="G304" s="25">
        <v>13437.75</v>
      </c>
      <c r="H304" s="25">
        <v>940.64</v>
      </c>
      <c r="I304" s="25">
        <v>7122.01</v>
      </c>
      <c r="J304" s="26">
        <v>12634.05</v>
      </c>
    </row>
    <row r="305" spans="1:10" ht="21" customHeight="1">
      <c r="A305" s="27">
        <v>45658</v>
      </c>
      <c r="B305" s="28" t="s">
        <v>38</v>
      </c>
      <c r="C305" s="28" t="s">
        <v>34</v>
      </c>
      <c r="D305" s="28" t="s">
        <v>57</v>
      </c>
      <c r="E305" s="29">
        <v>56</v>
      </c>
      <c r="F305" s="29">
        <v>112</v>
      </c>
      <c r="G305" s="30">
        <v>22386</v>
      </c>
      <c r="H305" s="30">
        <v>2014.74</v>
      </c>
      <c r="I305" s="30">
        <v>15782.13</v>
      </c>
      <c r="J305" s="31">
        <v>21471.45</v>
      </c>
    </row>
    <row r="306" spans="1:10" ht="21" customHeight="1">
      <c r="A306" s="22">
        <v>45658</v>
      </c>
      <c r="B306" s="23" t="s">
        <v>38</v>
      </c>
      <c r="C306" s="23" t="s">
        <v>34</v>
      </c>
      <c r="D306" s="23" t="s">
        <v>58</v>
      </c>
      <c r="E306" s="24">
        <v>79</v>
      </c>
      <c r="F306" s="24">
        <v>158</v>
      </c>
      <c r="G306" s="25">
        <v>31580.25</v>
      </c>
      <c r="H306" s="25">
        <v>3947.53</v>
      </c>
      <c r="I306" s="25">
        <v>22264.080000000002</v>
      </c>
      <c r="J306" s="26">
        <v>24399.38</v>
      </c>
    </row>
    <row r="307" spans="1:10" ht="21" customHeight="1">
      <c r="A307" s="27">
        <v>45658</v>
      </c>
      <c r="B307" s="28" t="s">
        <v>38</v>
      </c>
      <c r="C307" s="28" t="s">
        <v>35</v>
      </c>
      <c r="D307" s="28" t="s">
        <v>57</v>
      </c>
      <c r="E307" s="29">
        <v>64</v>
      </c>
      <c r="F307" s="29">
        <v>192</v>
      </c>
      <c r="G307" s="30">
        <v>27945.599999999999</v>
      </c>
      <c r="H307" s="30">
        <v>978.1</v>
      </c>
      <c r="I307" s="30">
        <v>17046.82</v>
      </c>
      <c r="J307" s="31">
        <v>28036.34</v>
      </c>
    </row>
    <row r="308" spans="1:10" ht="21" customHeight="1">
      <c r="A308" s="22">
        <v>45658</v>
      </c>
      <c r="B308" s="23" t="s">
        <v>38</v>
      </c>
      <c r="C308" s="23" t="s">
        <v>35</v>
      </c>
      <c r="D308" s="23" t="s">
        <v>58</v>
      </c>
      <c r="E308" s="24">
        <v>76</v>
      </c>
      <c r="F308" s="24">
        <v>228</v>
      </c>
      <c r="G308" s="25">
        <v>33185.4</v>
      </c>
      <c r="H308" s="25">
        <v>2322.98</v>
      </c>
      <c r="I308" s="25">
        <v>20243.09</v>
      </c>
      <c r="J308" s="26">
        <v>32249.05</v>
      </c>
    </row>
    <row r="309" spans="1:10" ht="21" customHeight="1">
      <c r="A309" s="27">
        <v>45658</v>
      </c>
      <c r="B309" s="28" t="s">
        <v>39</v>
      </c>
      <c r="C309" s="28" t="s">
        <v>33</v>
      </c>
      <c r="D309" s="28" t="s">
        <v>57</v>
      </c>
      <c r="E309" s="29">
        <v>59</v>
      </c>
      <c r="F309" s="29">
        <v>295</v>
      </c>
      <c r="G309" s="30">
        <v>11490.25</v>
      </c>
      <c r="H309" s="30">
        <v>402.16</v>
      </c>
      <c r="I309" s="30">
        <v>6089.83</v>
      </c>
      <c r="J309" s="31">
        <v>11294.36</v>
      </c>
    </row>
    <row r="310" spans="1:10" ht="21" customHeight="1">
      <c r="A310" s="22">
        <v>45658</v>
      </c>
      <c r="B310" s="23" t="s">
        <v>39</v>
      </c>
      <c r="C310" s="23" t="s">
        <v>33</v>
      </c>
      <c r="D310" s="23" t="s">
        <v>58</v>
      </c>
      <c r="E310" s="24">
        <v>78</v>
      </c>
      <c r="F310" s="24">
        <v>390</v>
      </c>
      <c r="G310" s="25">
        <v>15190.5</v>
      </c>
      <c r="H310" s="25">
        <v>1063.3399999999999</v>
      </c>
      <c r="I310" s="25">
        <v>8050.97</v>
      </c>
      <c r="J310" s="26">
        <v>13217.16</v>
      </c>
    </row>
    <row r="311" spans="1:10" ht="21" customHeight="1">
      <c r="A311" s="27">
        <v>45658</v>
      </c>
      <c r="B311" s="28" t="s">
        <v>39</v>
      </c>
      <c r="C311" s="28" t="s">
        <v>34</v>
      </c>
      <c r="D311" s="28" t="s">
        <v>57</v>
      </c>
      <c r="E311" s="29">
        <v>62</v>
      </c>
      <c r="F311" s="29">
        <v>124</v>
      </c>
      <c r="G311" s="30">
        <v>24784.5</v>
      </c>
      <c r="H311" s="30">
        <v>2230.61</v>
      </c>
      <c r="I311" s="30">
        <v>17473.07</v>
      </c>
      <c r="J311" s="31">
        <v>21471.45</v>
      </c>
    </row>
    <row r="312" spans="1:10" ht="21" customHeight="1">
      <c r="A312" s="22">
        <v>45658</v>
      </c>
      <c r="B312" s="23" t="s">
        <v>39</v>
      </c>
      <c r="C312" s="23" t="s">
        <v>34</v>
      </c>
      <c r="D312" s="23" t="s">
        <v>58</v>
      </c>
      <c r="E312" s="24">
        <v>80</v>
      </c>
      <c r="F312" s="24">
        <v>160</v>
      </c>
      <c r="G312" s="25">
        <v>31980</v>
      </c>
      <c r="H312" s="25">
        <v>3997.5</v>
      </c>
      <c r="I312" s="25">
        <v>22545.9</v>
      </c>
      <c r="J312" s="26">
        <v>29279.25</v>
      </c>
    </row>
    <row r="313" spans="1:10" ht="21" customHeight="1">
      <c r="A313" s="27">
        <v>45658</v>
      </c>
      <c r="B313" s="28" t="s">
        <v>39</v>
      </c>
      <c r="C313" s="28" t="s">
        <v>35</v>
      </c>
      <c r="D313" s="28" t="s">
        <v>57</v>
      </c>
      <c r="E313" s="29">
        <v>69</v>
      </c>
      <c r="F313" s="29">
        <v>207</v>
      </c>
      <c r="G313" s="30">
        <v>30128.85</v>
      </c>
      <c r="H313" s="30">
        <v>1054.51</v>
      </c>
      <c r="I313" s="30">
        <v>18378.599999999999</v>
      </c>
      <c r="J313" s="31">
        <v>30749.53</v>
      </c>
    </row>
    <row r="314" spans="1:10" ht="21" customHeight="1">
      <c r="A314" s="22">
        <v>45658</v>
      </c>
      <c r="B314" s="23" t="s">
        <v>39</v>
      </c>
      <c r="C314" s="23" t="s">
        <v>35</v>
      </c>
      <c r="D314" s="23" t="s">
        <v>58</v>
      </c>
      <c r="E314" s="24">
        <v>89</v>
      </c>
      <c r="F314" s="24">
        <v>267</v>
      </c>
      <c r="G314" s="25">
        <v>38861.85</v>
      </c>
      <c r="H314" s="25">
        <v>2720.33</v>
      </c>
      <c r="I314" s="25">
        <v>23705.73</v>
      </c>
      <c r="J314" s="26">
        <v>33556.449999999997</v>
      </c>
    </row>
    <row r="315" spans="1:10" ht="21" customHeight="1">
      <c r="A315" s="27">
        <v>45658</v>
      </c>
      <c r="B315" s="28" t="s">
        <v>40</v>
      </c>
      <c r="C315" s="28" t="s">
        <v>33</v>
      </c>
      <c r="D315" s="28" t="s">
        <v>57</v>
      </c>
      <c r="E315" s="29">
        <v>71</v>
      </c>
      <c r="F315" s="29">
        <v>355</v>
      </c>
      <c r="G315" s="30">
        <v>13827.25</v>
      </c>
      <c r="H315" s="30">
        <v>483.95</v>
      </c>
      <c r="I315" s="30">
        <v>7328.44</v>
      </c>
      <c r="J315" s="31">
        <v>13751.25</v>
      </c>
    </row>
    <row r="316" spans="1:10" ht="21" customHeight="1">
      <c r="A316" s="22">
        <v>45658</v>
      </c>
      <c r="B316" s="23" t="s">
        <v>40</v>
      </c>
      <c r="C316" s="23" t="s">
        <v>33</v>
      </c>
      <c r="D316" s="23" t="s">
        <v>58</v>
      </c>
      <c r="E316" s="24">
        <v>80</v>
      </c>
      <c r="F316" s="24">
        <v>400</v>
      </c>
      <c r="G316" s="25">
        <v>15580</v>
      </c>
      <c r="H316" s="25">
        <v>1090.5999999999999</v>
      </c>
      <c r="I316" s="25">
        <v>8257.4</v>
      </c>
      <c r="J316" s="26">
        <v>16344.75</v>
      </c>
    </row>
    <row r="317" spans="1:10" ht="21" customHeight="1">
      <c r="A317" s="27">
        <v>45658</v>
      </c>
      <c r="B317" s="28" t="s">
        <v>40</v>
      </c>
      <c r="C317" s="28" t="s">
        <v>34</v>
      </c>
      <c r="D317" s="28" t="s">
        <v>57</v>
      </c>
      <c r="E317" s="29">
        <v>73</v>
      </c>
      <c r="F317" s="29">
        <v>146</v>
      </c>
      <c r="G317" s="30">
        <v>29181.75</v>
      </c>
      <c r="H317" s="30">
        <v>3939.54</v>
      </c>
      <c r="I317" s="30">
        <v>20573.13</v>
      </c>
      <c r="J317" s="31">
        <v>27061.13</v>
      </c>
    </row>
    <row r="318" spans="1:10" ht="21" customHeight="1">
      <c r="A318" s="22">
        <v>45658</v>
      </c>
      <c r="B318" s="23" t="s">
        <v>40</v>
      </c>
      <c r="C318" s="23" t="s">
        <v>34</v>
      </c>
      <c r="D318" s="23" t="s">
        <v>58</v>
      </c>
      <c r="E318" s="24">
        <v>85</v>
      </c>
      <c r="F318" s="24">
        <v>170</v>
      </c>
      <c r="G318" s="25">
        <v>33978.75</v>
      </c>
      <c r="H318" s="25">
        <v>5776.39</v>
      </c>
      <c r="I318" s="25">
        <v>23955.02</v>
      </c>
      <c r="J318" s="26">
        <v>35831.25</v>
      </c>
    </row>
    <row r="319" spans="1:10" ht="21" customHeight="1">
      <c r="A319" s="27">
        <v>45658</v>
      </c>
      <c r="B319" s="28" t="s">
        <v>40</v>
      </c>
      <c r="C319" s="28" t="s">
        <v>35</v>
      </c>
      <c r="D319" s="28" t="s">
        <v>57</v>
      </c>
      <c r="E319" s="29">
        <v>81</v>
      </c>
      <c r="F319" s="29">
        <v>243</v>
      </c>
      <c r="G319" s="30">
        <v>35368.65</v>
      </c>
      <c r="H319" s="30">
        <v>1237.9000000000001</v>
      </c>
      <c r="I319" s="30">
        <v>21574.880000000001</v>
      </c>
      <c r="J319" s="31">
        <v>39053.550000000003</v>
      </c>
    </row>
    <row r="320" spans="1:10" ht="21" customHeight="1">
      <c r="A320" s="22">
        <v>45658</v>
      </c>
      <c r="B320" s="23" t="s">
        <v>40</v>
      </c>
      <c r="C320" s="23" t="s">
        <v>35</v>
      </c>
      <c r="D320" s="23" t="s">
        <v>58</v>
      </c>
      <c r="E320" s="24">
        <v>100</v>
      </c>
      <c r="F320" s="24">
        <v>300</v>
      </c>
      <c r="G320" s="25">
        <v>43665</v>
      </c>
      <c r="H320" s="25">
        <v>3056.55</v>
      </c>
      <c r="I320" s="25">
        <v>26635.65</v>
      </c>
      <c r="J320" s="26">
        <v>45560.7</v>
      </c>
    </row>
    <row r="321" spans="1:10" ht="21" customHeight="1">
      <c r="A321" s="27">
        <v>45689</v>
      </c>
      <c r="B321" s="28" t="s">
        <v>37</v>
      </c>
      <c r="C321" s="28" t="s">
        <v>33</v>
      </c>
      <c r="D321" s="28" t="s">
        <v>57</v>
      </c>
      <c r="E321" s="29">
        <v>46</v>
      </c>
      <c r="F321" s="29">
        <v>230</v>
      </c>
      <c r="G321" s="30">
        <v>8958.5</v>
      </c>
      <c r="H321" s="30">
        <v>313.55</v>
      </c>
      <c r="I321" s="30">
        <v>4748.01</v>
      </c>
      <c r="J321" s="31">
        <v>7664.03</v>
      </c>
    </row>
    <row r="322" spans="1:10" ht="21" customHeight="1">
      <c r="A322" s="22">
        <v>45689</v>
      </c>
      <c r="B322" s="23" t="s">
        <v>37</v>
      </c>
      <c r="C322" s="23" t="s">
        <v>33</v>
      </c>
      <c r="D322" s="23" t="s">
        <v>58</v>
      </c>
      <c r="E322" s="24">
        <v>65</v>
      </c>
      <c r="F322" s="24">
        <v>325</v>
      </c>
      <c r="G322" s="25">
        <v>12658.75</v>
      </c>
      <c r="H322" s="25">
        <v>886.11</v>
      </c>
      <c r="I322" s="25">
        <v>6709.14</v>
      </c>
      <c r="J322" s="26">
        <v>11467.83</v>
      </c>
    </row>
    <row r="323" spans="1:10" ht="21" customHeight="1">
      <c r="A323" s="27">
        <v>45689</v>
      </c>
      <c r="B323" s="28" t="s">
        <v>37</v>
      </c>
      <c r="C323" s="28" t="s">
        <v>34</v>
      </c>
      <c r="D323" s="28" t="s">
        <v>57</v>
      </c>
      <c r="E323" s="29">
        <v>54</v>
      </c>
      <c r="F323" s="29">
        <v>108</v>
      </c>
      <c r="G323" s="30">
        <v>21586.5</v>
      </c>
      <c r="H323" s="30">
        <v>1942.79</v>
      </c>
      <c r="I323" s="30">
        <v>15218.48</v>
      </c>
      <c r="J323" s="31">
        <v>19519.5</v>
      </c>
    </row>
    <row r="324" spans="1:10" ht="21" customHeight="1">
      <c r="A324" s="22">
        <v>45689</v>
      </c>
      <c r="B324" s="23" t="s">
        <v>37</v>
      </c>
      <c r="C324" s="23" t="s">
        <v>34</v>
      </c>
      <c r="D324" s="23" t="s">
        <v>58</v>
      </c>
      <c r="E324" s="24">
        <v>71</v>
      </c>
      <c r="F324" s="24">
        <v>142</v>
      </c>
      <c r="G324" s="25">
        <v>28382.25</v>
      </c>
      <c r="H324" s="25">
        <v>3547.78</v>
      </c>
      <c r="I324" s="25">
        <v>20009.490000000002</v>
      </c>
      <c r="J324" s="26">
        <v>25525.5</v>
      </c>
    </row>
    <row r="325" spans="1:10" ht="21" customHeight="1">
      <c r="A325" s="27">
        <v>45689</v>
      </c>
      <c r="B325" s="28" t="s">
        <v>37</v>
      </c>
      <c r="C325" s="28" t="s">
        <v>35</v>
      </c>
      <c r="D325" s="28" t="s">
        <v>57</v>
      </c>
      <c r="E325" s="29">
        <v>62</v>
      </c>
      <c r="F325" s="29">
        <v>186</v>
      </c>
      <c r="G325" s="30">
        <v>27072.3</v>
      </c>
      <c r="H325" s="30">
        <v>947.53</v>
      </c>
      <c r="I325" s="30">
        <v>16514.099999999999</v>
      </c>
      <c r="J325" s="31">
        <v>23966.55</v>
      </c>
    </row>
    <row r="326" spans="1:10" ht="21" customHeight="1">
      <c r="A326" s="22">
        <v>45689</v>
      </c>
      <c r="B326" s="23" t="s">
        <v>37</v>
      </c>
      <c r="C326" s="23" t="s">
        <v>35</v>
      </c>
      <c r="D326" s="23" t="s">
        <v>58</v>
      </c>
      <c r="E326" s="24">
        <v>73</v>
      </c>
      <c r="F326" s="24">
        <v>219</v>
      </c>
      <c r="G326" s="25">
        <v>31875.45</v>
      </c>
      <c r="H326" s="25">
        <v>2231.2800000000002</v>
      </c>
      <c r="I326" s="25">
        <v>19444.02</v>
      </c>
      <c r="J326" s="26">
        <v>29634.26</v>
      </c>
    </row>
    <row r="327" spans="1:10" ht="21" customHeight="1">
      <c r="A327" s="27">
        <v>45689</v>
      </c>
      <c r="B327" s="28" t="s">
        <v>38</v>
      </c>
      <c r="C327" s="28" t="s">
        <v>33</v>
      </c>
      <c r="D327" s="28" t="s">
        <v>57</v>
      </c>
      <c r="E327" s="29">
        <v>51</v>
      </c>
      <c r="F327" s="29">
        <v>255</v>
      </c>
      <c r="G327" s="30">
        <v>9932.25</v>
      </c>
      <c r="H327" s="30">
        <v>347.63</v>
      </c>
      <c r="I327" s="30">
        <v>5264.09</v>
      </c>
      <c r="J327" s="31">
        <v>9680.8799999999992</v>
      </c>
    </row>
    <row r="328" spans="1:10" ht="21" customHeight="1">
      <c r="A328" s="22">
        <v>45689</v>
      </c>
      <c r="B328" s="23" t="s">
        <v>38</v>
      </c>
      <c r="C328" s="23" t="s">
        <v>33</v>
      </c>
      <c r="D328" s="23" t="s">
        <v>58</v>
      </c>
      <c r="E328" s="24">
        <v>66</v>
      </c>
      <c r="F328" s="24">
        <v>330</v>
      </c>
      <c r="G328" s="25">
        <v>12853.5</v>
      </c>
      <c r="H328" s="25">
        <v>899.75</v>
      </c>
      <c r="I328" s="25">
        <v>6812.36</v>
      </c>
      <c r="J328" s="26">
        <v>12828.42</v>
      </c>
    </row>
    <row r="329" spans="1:10" ht="21" customHeight="1">
      <c r="A329" s="27">
        <v>45689</v>
      </c>
      <c r="B329" s="28" t="s">
        <v>38</v>
      </c>
      <c r="C329" s="28" t="s">
        <v>34</v>
      </c>
      <c r="D329" s="28" t="s">
        <v>57</v>
      </c>
      <c r="E329" s="29">
        <v>57</v>
      </c>
      <c r="F329" s="29">
        <v>114</v>
      </c>
      <c r="G329" s="30">
        <v>22785.75</v>
      </c>
      <c r="H329" s="30">
        <v>2050.7199999999998</v>
      </c>
      <c r="I329" s="30">
        <v>16063.95</v>
      </c>
      <c r="J329" s="31">
        <v>22642.62</v>
      </c>
    </row>
    <row r="330" spans="1:10" ht="21" customHeight="1">
      <c r="A330" s="22">
        <v>45689</v>
      </c>
      <c r="B330" s="23" t="s">
        <v>38</v>
      </c>
      <c r="C330" s="23" t="s">
        <v>34</v>
      </c>
      <c r="D330" s="23" t="s">
        <v>58</v>
      </c>
      <c r="E330" s="24">
        <v>80</v>
      </c>
      <c r="F330" s="24">
        <v>160</v>
      </c>
      <c r="G330" s="25">
        <v>31980</v>
      </c>
      <c r="H330" s="25">
        <v>3997.5</v>
      </c>
      <c r="I330" s="25">
        <v>22545.9</v>
      </c>
      <c r="J330" s="26">
        <v>28153.13</v>
      </c>
    </row>
    <row r="331" spans="1:10" ht="21" customHeight="1">
      <c r="A331" s="27">
        <v>45689</v>
      </c>
      <c r="B331" s="28" t="s">
        <v>38</v>
      </c>
      <c r="C331" s="28" t="s">
        <v>35</v>
      </c>
      <c r="D331" s="28" t="s">
        <v>57</v>
      </c>
      <c r="E331" s="29">
        <v>66</v>
      </c>
      <c r="F331" s="29">
        <v>198</v>
      </c>
      <c r="G331" s="30">
        <v>28818.9</v>
      </c>
      <c r="H331" s="30">
        <v>1008.66</v>
      </c>
      <c r="I331" s="30">
        <v>17579.53</v>
      </c>
      <c r="J331" s="31">
        <v>29845.13</v>
      </c>
    </row>
    <row r="332" spans="1:10" ht="21" customHeight="1">
      <c r="A332" s="22">
        <v>45689</v>
      </c>
      <c r="B332" s="23" t="s">
        <v>38</v>
      </c>
      <c r="C332" s="23" t="s">
        <v>35</v>
      </c>
      <c r="D332" s="23" t="s">
        <v>58</v>
      </c>
      <c r="E332" s="24">
        <v>84</v>
      </c>
      <c r="F332" s="24">
        <v>252</v>
      </c>
      <c r="G332" s="25">
        <v>36678.6</v>
      </c>
      <c r="H332" s="25">
        <v>2567.5</v>
      </c>
      <c r="I332" s="25">
        <v>22373.95</v>
      </c>
      <c r="J332" s="26">
        <v>31377.46</v>
      </c>
    </row>
    <row r="333" spans="1:10" ht="21" customHeight="1">
      <c r="A333" s="27">
        <v>45689</v>
      </c>
      <c r="B333" s="28" t="s">
        <v>39</v>
      </c>
      <c r="C333" s="28" t="s">
        <v>33</v>
      </c>
      <c r="D333" s="28" t="s">
        <v>57</v>
      </c>
      <c r="E333" s="29">
        <v>65</v>
      </c>
      <c r="F333" s="29">
        <v>325</v>
      </c>
      <c r="G333" s="30">
        <v>12658.75</v>
      </c>
      <c r="H333" s="30">
        <v>443.06</v>
      </c>
      <c r="I333" s="30">
        <v>6709.14</v>
      </c>
      <c r="J333" s="31">
        <v>11496.05</v>
      </c>
    </row>
    <row r="334" spans="1:10" ht="21" customHeight="1">
      <c r="A334" s="22">
        <v>45689</v>
      </c>
      <c r="B334" s="23" t="s">
        <v>39</v>
      </c>
      <c r="C334" s="23" t="s">
        <v>33</v>
      </c>
      <c r="D334" s="23" t="s">
        <v>58</v>
      </c>
      <c r="E334" s="24">
        <v>82</v>
      </c>
      <c r="F334" s="24">
        <v>410</v>
      </c>
      <c r="G334" s="25">
        <v>15969.5</v>
      </c>
      <c r="H334" s="25">
        <v>1117.8699999999999</v>
      </c>
      <c r="I334" s="25">
        <v>8463.84</v>
      </c>
      <c r="J334" s="26">
        <v>12828.42</v>
      </c>
    </row>
    <row r="335" spans="1:10" ht="21" customHeight="1">
      <c r="A335" s="27">
        <v>45689</v>
      </c>
      <c r="B335" s="28" t="s">
        <v>39</v>
      </c>
      <c r="C335" s="28" t="s">
        <v>34</v>
      </c>
      <c r="D335" s="28" t="s">
        <v>57</v>
      </c>
      <c r="E335" s="29">
        <v>68</v>
      </c>
      <c r="F335" s="29">
        <v>136</v>
      </c>
      <c r="G335" s="30">
        <v>27183</v>
      </c>
      <c r="H335" s="30">
        <v>2446.4699999999998</v>
      </c>
      <c r="I335" s="30">
        <v>19164.02</v>
      </c>
      <c r="J335" s="31">
        <v>23033.01</v>
      </c>
    </row>
    <row r="336" spans="1:10" ht="21" customHeight="1">
      <c r="A336" s="22">
        <v>45689</v>
      </c>
      <c r="B336" s="23" t="s">
        <v>39</v>
      </c>
      <c r="C336" s="23" t="s">
        <v>34</v>
      </c>
      <c r="D336" s="23" t="s">
        <v>58</v>
      </c>
      <c r="E336" s="24">
        <v>88</v>
      </c>
      <c r="F336" s="24">
        <v>176</v>
      </c>
      <c r="G336" s="25">
        <v>35178</v>
      </c>
      <c r="H336" s="25">
        <v>4397.25</v>
      </c>
      <c r="I336" s="25">
        <v>24800.49</v>
      </c>
      <c r="J336" s="26">
        <v>28903.88</v>
      </c>
    </row>
    <row r="337" spans="1:10" ht="21" customHeight="1">
      <c r="A337" s="27">
        <v>45689</v>
      </c>
      <c r="B337" s="28" t="s">
        <v>39</v>
      </c>
      <c r="C337" s="28" t="s">
        <v>35</v>
      </c>
      <c r="D337" s="28" t="s">
        <v>57</v>
      </c>
      <c r="E337" s="29">
        <v>76</v>
      </c>
      <c r="F337" s="29">
        <v>228</v>
      </c>
      <c r="G337" s="30">
        <v>33185.4</v>
      </c>
      <c r="H337" s="30">
        <v>1161.49</v>
      </c>
      <c r="I337" s="30">
        <v>20243.09</v>
      </c>
      <c r="J337" s="31">
        <v>29392.94</v>
      </c>
    </row>
    <row r="338" spans="1:10" ht="21" customHeight="1">
      <c r="A338" s="22">
        <v>45689</v>
      </c>
      <c r="B338" s="23" t="s">
        <v>39</v>
      </c>
      <c r="C338" s="23" t="s">
        <v>35</v>
      </c>
      <c r="D338" s="23" t="s">
        <v>58</v>
      </c>
      <c r="E338" s="24">
        <v>99</v>
      </c>
      <c r="F338" s="24">
        <v>297</v>
      </c>
      <c r="G338" s="25">
        <v>43228.35</v>
      </c>
      <c r="H338" s="25">
        <v>3025.98</v>
      </c>
      <c r="I338" s="25">
        <v>26369.29</v>
      </c>
      <c r="J338" s="26">
        <v>38786.019999999997</v>
      </c>
    </row>
    <row r="339" spans="1:10" ht="21" customHeight="1">
      <c r="A339" s="27">
        <v>45689</v>
      </c>
      <c r="B339" s="28" t="s">
        <v>40</v>
      </c>
      <c r="C339" s="28" t="s">
        <v>33</v>
      </c>
      <c r="D339" s="28" t="s">
        <v>57</v>
      </c>
      <c r="E339" s="29">
        <v>66</v>
      </c>
      <c r="F339" s="29">
        <v>330</v>
      </c>
      <c r="G339" s="30">
        <v>12853.5</v>
      </c>
      <c r="H339" s="30">
        <v>449.87</v>
      </c>
      <c r="I339" s="30">
        <v>6812.36</v>
      </c>
      <c r="J339" s="31">
        <v>14668</v>
      </c>
    </row>
    <row r="340" spans="1:10" ht="21" customHeight="1">
      <c r="A340" s="22">
        <v>45689</v>
      </c>
      <c r="B340" s="23" t="s">
        <v>40</v>
      </c>
      <c r="C340" s="23" t="s">
        <v>33</v>
      </c>
      <c r="D340" s="23" t="s">
        <v>58</v>
      </c>
      <c r="E340" s="24">
        <v>93</v>
      </c>
      <c r="F340" s="24">
        <v>465</v>
      </c>
      <c r="G340" s="25">
        <v>18111.75</v>
      </c>
      <c r="H340" s="25">
        <v>1267.82</v>
      </c>
      <c r="I340" s="25">
        <v>9599.23</v>
      </c>
      <c r="J340" s="26">
        <v>17007.38</v>
      </c>
    </row>
    <row r="341" spans="1:10" ht="21" customHeight="1">
      <c r="A341" s="27">
        <v>45689</v>
      </c>
      <c r="B341" s="28" t="s">
        <v>40</v>
      </c>
      <c r="C341" s="28" t="s">
        <v>34</v>
      </c>
      <c r="D341" s="28" t="s">
        <v>57</v>
      </c>
      <c r="E341" s="29">
        <v>70</v>
      </c>
      <c r="F341" s="29">
        <v>140</v>
      </c>
      <c r="G341" s="30">
        <v>27982.5</v>
      </c>
      <c r="H341" s="30">
        <v>3777.64</v>
      </c>
      <c r="I341" s="30">
        <v>19727.66</v>
      </c>
      <c r="J341" s="31">
        <v>32828.25</v>
      </c>
    </row>
    <row r="342" spans="1:10" ht="21" customHeight="1">
      <c r="A342" s="22">
        <v>45689</v>
      </c>
      <c r="B342" s="23" t="s">
        <v>40</v>
      </c>
      <c r="C342" s="23" t="s">
        <v>34</v>
      </c>
      <c r="D342" s="23" t="s">
        <v>58</v>
      </c>
      <c r="E342" s="24">
        <v>87</v>
      </c>
      <c r="F342" s="24">
        <v>174</v>
      </c>
      <c r="G342" s="25">
        <v>34778.25</v>
      </c>
      <c r="H342" s="25">
        <v>5912.3</v>
      </c>
      <c r="I342" s="25">
        <v>24518.67</v>
      </c>
      <c r="J342" s="26">
        <v>37110.94</v>
      </c>
    </row>
    <row r="343" spans="1:10" ht="21" customHeight="1">
      <c r="A343" s="27">
        <v>45689</v>
      </c>
      <c r="B343" s="28" t="s">
        <v>40</v>
      </c>
      <c r="C343" s="28" t="s">
        <v>35</v>
      </c>
      <c r="D343" s="28" t="s">
        <v>57</v>
      </c>
      <c r="E343" s="29">
        <v>80</v>
      </c>
      <c r="F343" s="29">
        <v>240</v>
      </c>
      <c r="G343" s="30">
        <v>34932</v>
      </c>
      <c r="H343" s="30">
        <v>1222.6199999999999</v>
      </c>
      <c r="I343" s="30">
        <v>21308.52</v>
      </c>
      <c r="J343" s="31">
        <v>40595.14</v>
      </c>
    </row>
    <row r="344" spans="1:10" ht="21" customHeight="1">
      <c r="A344" s="22">
        <v>45689</v>
      </c>
      <c r="B344" s="23" t="s">
        <v>40</v>
      </c>
      <c r="C344" s="23" t="s">
        <v>35</v>
      </c>
      <c r="D344" s="23" t="s">
        <v>58</v>
      </c>
      <c r="E344" s="24">
        <v>107</v>
      </c>
      <c r="F344" s="24">
        <v>321</v>
      </c>
      <c r="G344" s="25">
        <v>46721.55</v>
      </c>
      <c r="H344" s="25">
        <v>3270.51</v>
      </c>
      <c r="I344" s="25">
        <v>28500.15</v>
      </c>
      <c r="J344" s="26">
        <v>48036.83</v>
      </c>
    </row>
    <row r="345" spans="1:10" ht="21" customHeight="1">
      <c r="A345" s="27">
        <v>45717</v>
      </c>
      <c r="B345" s="28" t="s">
        <v>37</v>
      </c>
      <c r="C345" s="28" t="s">
        <v>33</v>
      </c>
      <c r="D345" s="28" t="s">
        <v>57</v>
      </c>
      <c r="E345" s="29">
        <v>52</v>
      </c>
      <c r="F345" s="29">
        <v>260</v>
      </c>
      <c r="G345" s="30">
        <v>10127</v>
      </c>
      <c r="H345" s="30">
        <v>354.45</v>
      </c>
      <c r="I345" s="30">
        <v>5367.31</v>
      </c>
      <c r="J345" s="31">
        <v>10084.25</v>
      </c>
    </row>
    <row r="346" spans="1:10" ht="21" customHeight="1">
      <c r="A346" s="22">
        <v>45717</v>
      </c>
      <c r="B346" s="23" t="s">
        <v>37</v>
      </c>
      <c r="C346" s="23" t="s">
        <v>33</v>
      </c>
      <c r="D346" s="23" t="s">
        <v>58</v>
      </c>
      <c r="E346" s="24">
        <v>69</v>
      </c>
      <c r="F346" s="24">
        <v>345</v>
      </c>
      <c r="G346" s="25">
        <v>13437.75</v>
      </c>
      <c r="H346" s="25">
        <v>940.64</v>
      </c>
      <c r="I346" s="25">
        <v>7122.01</v>
      </c>
      <c r="J346" s="26">
        <v>12828.42</v>
      </c>
    </row>
    <row r="347" spans="1:10" ht="21" customHeight="1">
      <c r="A347" s="27">
        <v>45717</v>
      </c>
      <c r="B347" s="28" t="s">
        <v>37</v>
      </c>
      <c r="C347" s="28" t="s">
        <v>34</v>
      </c>
      <c r="D347" s="28" t="s">
        <v>57</v>
      </c>
      <c r="E347" s="29">
        <v>66</v>
      </c>
      <c r="F347" s="29">
        <v>132</v>
      </c>
      <c r="G347" s="30">
        <v>26383.5</v>
      </c>
      <c r="H347" s="30">
        <v>2374.52</v>
      </c>
      <c r="I347" s="30">
        <v>18600.37</v>
      </c>
      <c r="J347" s="31">
        <v>22252.23</v>
      </c>
    </row>
    <row r="348" spans="1:10" ht="21" customHeight="1">
      <c r="A348" s="22">
        <v>45717</v>
      </c>
      <c r="B348" s="23" t="s">
        <v>37</v>
      </c>
      <c r="C348" s="23" t="s">
        <v>34</v>
      </c>
      <c r="D348" s="23" t="s">
        <v>58</v>
      </c>
      <c r="E348" s="24">
        <v>78</v>
      </c>
      <c r="F348" s="24">
        <v>156</v>
      </c>
      <c r="G348" s="25">
        <v>31180.5</v>
      </c>
      <c r="H348" s="25">
        <v>3897.56</v>
      </c>
      <c r="I348" s="25">
        <v>21982.25</v>
      </c>
      <c r="J348" s="26">
        <v>25150.13</v>
      </c>
    </row>
    <row r="349" spans="1:10" ht="21" customHeight="1">
      <c r="A349" s="27">
        <v>45717</v>
      </c>
      <c r="B349" s="28" t="s">
        <v>37</v>
      </c>
      <c r="C349" s="28" t="s">
        <v>35</v>
      </c>
      <c r="D349" s="28" t="s">
        <v>57</v>
      </c>
      <c r="E349" s="29">
        <v>68</v>
      </c>
      <c r="F349" s="29">
        <v>204</v>
      </c>
      <c r="G349" s="30">
        <v>29692.2</v>
      </c>
      <c r="H349" s="30">
        <v>1039.23</v>
      </c>
      <c r="I349" s="30">
        <v>18112.240000000002</v>
      </c>
      <c r="J349" s="31">
        <v>25775.34</v>
      </c>
    </row>
    <row r="350" spans="1:10" ht="21" customHeight="1">
      <c r="A350" s="22">
        <v>45717</v>
      </c>
      <c r="B350" s="23" t="s">
        <v>37</v>
      </c>
      <c r="C350" s="23" t="s">
        <v>35</v>
      </c>
      <c r="D350" s="23" t="s">
        <v>58</v>
      </c>
      <c r="E350" s="24">
        <v>82</v>
      </c>
      <c r="F350" s="24">
        <v>246</v>
      </c>
      <c r="G350" s="25">
        <v>35805.300000000003</v>
      </c>
      <c r="H350" s="25">
        <v>2506.37</v>
      </c>
      <c r="I350" s="25">
        <v>21841.23</v>
      </c>
      <c r="J350" s="26">
        <v>37042.83</v>
      </c>
    </row>
    <row r="351" spans="1:10" ht="21" customHeight="1">
      <c r="A351" s="27">
        <v>45717</v>
      </c>
      <c r="B351" s="28" t="s">
        <v>38</v>
      </c>
      <c r="C351" s="28" t="s">
        <v>33</v>
      </c>
      <c r="D351" s="28" t="s">
        <v>57</v>
      </c>
      <c r="E351" s="29">
        <v>57</v>
      </c>
      <c r="F351" s="29">
        <v>285</v>
      </c>
      <c r="G351" s="30">
        <v>11100.75</v>
      </c>
      <c r="H351" s="30">
        <v>388.53</v>
      </c>
      <c r="I351" s="30">
        <v>5883.4</v>
      </c>
      <c r="J351" s="31">
        <v>11899.42</v>
      </c>
    </row>
    <row r="352" spans="1:10" ht="21" customHeight="1">
      <c r="A352" s="22">
        <v>45717</v>
      </c>
      <c r="B352" s="23" t="s">
        <v>38</v>
      </c>
      <c r="C352" s="23" t="s">
        <v>33</v>
      </c>
      <c r="D352" s="23" t="s">
        <v>58</v>
      </c>
      <c r="E352" s="24">
        <v>86</v>
      </c>
      <c r="F352" s="24">
        <v>430</v>
      </c>
      <c r="G352" s="25">
        <v>16748.5</v>
      </c>
      <c r="H352" s="25">
        <v>1172.4000000000001</v>
      </c>
      <c r="I352" s="25">
        <v>8876.7099999999991</v>
      </c>
      <c r="J352" s="26">
        <v>14772.12</v>
      </c>
    </row>
    <row r="353" spans="1:10" ht="21" customHeight="1">
      <c r="A353" s="27">
        <v>45717</v>
      </c>
      <c r="B353" s="28" t="s">
        <v>38</v>
      </c>
      <c r="C353" s="28" t="s">
        <v>34</v>
      </c>
      <c r="D353" s="28" t="s">
        <v>57</v>
      </c>
      <c r="E353" s="29">
        <v>72</v>
      </c>
      <c r="F353" s="29">
        <v>144</v>
      </c>
      <c r="G353" s="30">
        <v>28782</v>
      </c>
      <c r="H353" s="30">
        <v>2590.38</v>
      </c>
      <c r="I353" s="30">
        <v>20291.310000000001</v>
      </c>
      <c r="J353" s="31">
        <v>24204.18</v>
      </c>
    </row>
    <row r="354" spans="1:10" ht="21" customHeight="1">
      <c r="A354" s="22">
        <v>45717</v>
      </c>
      <c r="B354" s="23" t="s">
        <v>38</v>
      </c>
      <c r="C354" s="23" t="s">
        <v>34</v>
      </c>
      <c r="D354" s="23" t="s">
        <v>58</v>
      </c>
      <c r="E354" s="24">
        <v>95</v>
      </c>
      <c r="F354" s="24">
        <v>190</v>
      </c>
      <c r="G354" s="25">
        <v>37976.25</v>
      </c>
      <c r="H354" s="25">
        <v>4747.03</v>
      </c>
      <c r="I354" s="25">
        <v>26773.26</v>
      </c>
      <c r="J354" s="26">
        <v>32657.63</v>
      </c>
    </row>
    <row r="355" spans="1:10" ht="21" customHeight="1">
      <c r="A355" s="27">
        <v>45717</v>
      </c>
      <c r="B355" s="28" t="s">
        <v>38</v>
      </c>
      <c r="C355" s="28" t="s">
        <v>35</v>
      </c>
      <c r="D355" s="28" t="s">
        <v>57</v>
      </c>
      <c r="E355" s="29">
        <v>76</v>
      </c>
      <c r="F355" s="29">
        <v>228</v>
      </c>
      <c r="G355" s="30">
        <v>33185.4</v>
      </c>
      <c r="H355" s="30">
        <v>1161.49</v>
      </c>
      <c r="I355" s="30">
        <v>20243.09</v>
      </c>
      <c r="J355" s="31">
        <v>31201.73</v>
      </c>
    </row>
    <row r="356" spans="1:10" ht="21" customHeight="1">
      <c r="A356" s="22">
        <v>45717</v>
      </c>
      <c r="B356" s="23" t="s">
        <v>38</v>
      </c>
      <c r="C356" s="23" t="s">
        <v>35</v>
      </c>
      <c r="D356" s="23" t="s">
        <v>58</v>
      </c>
      <c r="E356" s="24">
        <v>90</v>
      </c>
      <c r="F356" s="24">
        <v>270</v>
      </c>
      <c r="G356" s="25">
        <v>39298.5</v>
      </c>
      <c r="H356" s="25">
        <v>2750.9</v>
      </c>
      <c r="I356" s="25">
        <v>23972.09</v>
      </c>
      <c r="J356" s="26">
        <v>38350.22</v>
      </c>
    </row>
    <row r="357" spans="1:10" ht="21" customHeight="1">
      <c r="A357" s="27">
        <v>45717</v>
      </c>
      <c r="B357" s="28" t="s">
        <v>39</v>
      </c>
      <c r="C357" s="28" t="s">
        <v>33</v>
      </c>
      <c r="D357" s="28" t="s">
        <v>57</v>
      </c>
      <c r="E357" s="29">
        <v>71</v>
      </c>
      <c r="F357" s="29">
        <v>355</v>
      </c>
      <c r="G357" s="30">
        <v>13827.25</v>
      </c>
      <c r="H357" s="30">
        <v>483.95</v>
      </c>
      <c r="I357" s="30">
        <v>7328.44</v>
      </c>
      <c r="J357" s="31">
        <v>11899.42</v>
      </c>
    </row>
    <row r="358" spans="1:10" ht="21" customHeight="1">
      <c r="A358" s="22">
        <v>45717</v>
      </c>
      <c r="B358" s="23" t="s">
        <v>39</v>
      </c>
      <c r="C358" s="23" t="s">
        <v>33</v>
      </c>
      <c r="D358" s="23" t="s">
        <v>58</v>
      </c>
      <c r="E358" s="24">
        <v>87</v>
      </c>
      <c r="F358" s="24">
        <v>435</v>
      </c>
      <c r="G358" s="25">
        <v>16943.25</v>
      </c>
      <c r="H358" s="25">
        <v>1186.03</v>
      </c>
      <c r="I358" s="25">
        <v>8979.92</v>
      </c>
      <c r="J358" s="26">
        <v>15938.34</v>
      </c>
    </row>
    <row r="359" spans="1:10" ht="21" customHeight="1">
      <c r="A359" s="27">
        <v>45717</v>
      </c>
      <c r="B359" s="28" t="s">
        <v>39</v>
      </c>
      <c r="C359" s="28" t="s">
        <v>34</v>
      </c>
      <c r="D359" s="28" t="s">
        <v>57</v>
      </c>
      <c r="E359" s="29">
        <v>83</v>
      </c>
      <c r="F359" s="29">
        <v>166</v>
      </c>
      <c r="G359" s="30">
        <v>33179.25</v>
      </c>
      <c r="H359" s="30">
        <v>2986.13</v>
      </c>
      <c r="I359" s="30">
        <v>23391.37</v>
      </c>
      <c r="J359" s="31">
        <v>25375.35</v>
      </c>
    </row>
    <row r="360" spans="1:10" ht="21" customHeight="1">
      <c r="A360" s="22">
        <v>45717</v>
      </c>
      <c r="B360" s="23" t="s">
        <v>39</v>
      </c>
      <c r="C360" s="23" t="s">
        <v>34</v>
      </c>
      <c r="D360" s="23" t="s">
        <v>58</v>
      </c>
      <c r="E360" s="24">
        <v>100</v>
      </c>
      <c r="F360" s="24">
        <v>200</v>
      </c>
      <c r="G360" s="25">
        <v>39975</v>
      </c>
      <c r="H360" s="25">
        <v>4996.88</v>
      </c>
      <c r="I360" s="25">
        <v>28182.38</v>
      </c>
      <c r="J360" s="26">
        <v>31531.5</v>
      </c>
    </row>
    <row r="361" spans="1:10" ht="21" customHeight="1">
      <c r="A361" s="27">
        <v>45717</v>
      </c>
      <c r="B361" s="28" t="s">
        <v>39</v>
      </c>
      <c r="C361" s="28" t="s">
        <v>35</v>
      </c>
      <c r="D361" s="28" t="s">
        <v>57</v>
      </c>
      <c r="E361" s="29">
        <v>86</v>
      </c>
      <c r="F361" s="29">
        <v>258</v>
      </c>
      <c r="G361" s="30">
        <v>37551.9</v>
      </c>
      <c r="H361" s="30">
        <v>1314.32</v>
      </c>
      <c r="I361" s="30">
        <v>22906.66</v>
      </c>
      <c r="J361" s="31">
        <v>37080.32</v>
      </c>
    </row>
    <row r="362" spans="1:10" ht="21" customHeight="1">
      <c r="A362" s="22">
        <v>45717</v>
      </c>
      <c r="B362" s="23" t="s">
        <v>39</v>
      </c>
      <c r="C362" s="23" t="s">
        <v>35</v>
      </c>
      <c r="D362" s="23" t="s">
        <v>58</v>
      </c>
      <c r="E362" s="24">
        <v>104</v>
      </c>
      <c r="F362" s="24">
        <v>312</v>
      </c>
      <c r="G362" s="25">
        <v>45411.6</v>
      </c>
      <c r="H362" s="25">
        <v>3178.81</v>
      </c>
      <c r="I362" s="25">
        <v>27701.08</v>
      </c>
      <c r="J362" s="26">
        <v>44451.4</v>
      </c>
    </row>
    <row r="363" spans="1:10" ht="21" customHeight="1">
      <c r="A363" s="27">
        <v>45717</v>
      </c>
      <c r="B363" s="28" t="s">
        <v>40</v>
      </c>
      <c r="C363" s="28" t="s">
        <v>33</v>
      </c>
      <c r="D363" s="28" t="s">
        <v>57</v>
      </c>
      <c r="E363" s="29">
        <v>85</v>
      </c>
      <c r="F363" s="29">
        <v>425</v>
      </c>
      <c r="G363" s="30">
        <v>16553.75</v>
      </c>
      <c r="H363" s="30">
        <v>579.38</v>
      </c>
      <c r="I363" s="30">
        <v>8773.49</v>
      </c>
      <c r="J363" s="31">
        <v>15584.75</v>
      </c>
    </row>
    <row r="364" spans="1:10" ht="21" customHeight="1">
      <c r="A364" s="22">
        <v>45717</v>
      </c>
      <c r="B364" s="23" t="s">
        <v>40</v>
      </c>
      <c r="C364" s="23" t="s">
        <v>33</v>
      </c>
      <c r="D364" s="23" t="s">
        <v>58</v>
      </c>
      <c r="E364" s="24">
        <v>102</v>
      </c>
      <c r="F364" s="24">
        <v>510</v>
      </c>
      <c r="G364" s="25">
        <v>19864.5</v>
      </c>
      <c r="H364" s="25">
        <v>1390.52</v>
      </c>
      <c r="I364" s="25">
        <v>10528.19</v>
      </c>
      <c r="J364" s="26">
        <v>18332.63</v>
      </c>
    </row>
    <row r="365" spans="1:10" ht="21" customHeight="1">
      <c r="A365" s="27">
        <v>45717</v>
      </c>
      <c r="B365" s="28" t="s">
        <v>40</v>
      </c>
      <c r="C365" s="28" t="s">
        <v>34</v>
      </c>
      <c r="D365" s="28" t="s">
        <v>57</v>
      </c>
      <c r="E365" s="29">
        <v>87</v>
      </c>
      <c r="F365" s="29">
        <v>174</v>
      </c>
      <c r="G365" s="30">
        <v>34778.25</v>
      </c>
      <c r="H365" s="30">
        <v>4695.0600000000004</v>
      </c>
      <c r="I365" s="30">
        <v>24518.67</v>
      </c>
      <c r="J365" s="31">
        <v>35490</v>
      </c>
    </row>
    <row r="366" spans="1:10" ht="21" customHeight="1">
      <c r="A366" s="22">
        <v>45717</v>
      </c>
      <c r="B366" s="23" t="s">
        <v>40</v>
      </c>
      <c r="C366" s="23" t="s">
        <v>34</v>
      </c>
      <c r="D366" s="23" t="s">
        <v>58</v>
      </c>
      <c r="E366" s="24">
        <v>114</v>
      </c>
      <c r="F366" s="24">
        <v>228</v>
      </c>
      <c r="G366" s="25">
        <v>45571.5</v>
      </c>
      <c r="H366" s="25">
        <v>7747.16</v>
      </c>
      <c r="I366" s="25">
        <v>32127.91</v>
      </c>
      <c r="J366" s="26">
        <v>40523.440000000002</v>
      </c>
    </row>
    <row r="367" spans="1:10" ht="21" customHeight="1">
      <c r="A367" s="27">
        <v>45717</v>
      </c>
      <c r="B367" s="28" t="s">
        <v>40</v>
      </c>
      <c r="C367" s="28" t="s">
        <v>35</v>
      </c>
      <c r="D367" s="28" t="s">
        <v>57</v>
      </c>
      <c r="E367" s="29">
        <v>88</v>
      </c>
      <c r="F367" s="29">
        <v>264</v>
      </c>
      <c r="G367" s="30">
        <v>38425.199999999997</v>
      </c>
      <c r="H367" s="30">
        <v>1344.88</v>
      </c>
      <c r="I367" s="30">
        <v>23439.37</v>
      </c>
      <c r="J367" s="31">
        <v>42136.73</v>
      </c>
    </row>
    <row r="368" spans="1:10" ht="21" customHeight="1">
      <c r="A368" s="22">
        <v>45717</v>
      </c>
      <c r="B368" s="23" t="s">
        <v>40</v>
      </c>
      <c r="C368" s="23" t="s">
        <v>35</v>
      </c>
      <c r="D368" s="23" t="s">
        <v>58</v>
      </c>
      <c r="E368" s="24">
        <v>117</v>
      </c>
      <c r="F368" s="24">
        <v>351</v>
      </c>
      <c r="G368" s="25">
        <v>51088.05</v>
      </c>
      <c r="H368" s="25">
        <v>3576.16</v>
      </c>
      <c r="I368" s="25">
        <v>31163.71</v>
      </c>
      <c r="J368" s="26">
        <v>52989.08</v>
      </c>
    </row>
    <row r="369" spans="1:10" ht="21" customHeight="1">
      <c r="A369" s="27">
        <v>45748</v>
      </c>
      <c r="B369" s="28" t="s">
        <v>37</v>
      </c>
      <c r="C369" s="28" t="s">
        <v>33</v>
      </c>
      <c r="D369" s="28" t="s">
        <v>57</v>
      </c>
      <c r="E369" s="29">
        <v>48</v>
      </c>
      <c r="F369" s="29">
        <v>240</v>
      </c>
      <c r="G369" s="30">
        <v>9348</v>
      </c>
      <c r="H369" s="30">
        <v>327.18</v>
      </c>
      <c r="I369" s="30">
        <v>4954.4399999999996</v>
      </c>
      <c r="J369" s="31">
        <v>9277.51</v>
      </c>
    </row>
    <row r="370" spans="1:10" ht="21" customHeight="1">
      <c r="A370" s="22">
        <v>45748</v>
      </c>
      <c r="B370" s="23" t="s">
        <v>37</v>
      </c>
      <c r="C370" s="23" t="s">
        <v>33</v>
      </c>
      <c r="D370" s="23" t="s">
        <v>58</v>
      </c>
      <c r="E370" s="24">
        <v>65</v>
      </c>
      <c r="F370" s="24">
        <v>325</v>
      </c>
      <c r="G370" s="25">
        <v>12658.75</v>
      </c>
      <c r="H370" s="25">
        <v>886.11</v>
      </c>
      <c r="I370" s="25">
        <v>6709.14</v>
      </c>
      <c r="J370" s="26">
        <v>12050.94</v>
      </c>
    </row>
    <row r="371" spans="1:10" ht="21" customHeight="1">
      <c r="A371" s="27">
        <v>45748</v>
      </c>
      <c r="B371" s="28" t="s">
        <v>37</v>
      </c>
      <c r="C371" s="28" t="s">
        <v>34</v>
      </c>
      <c r="D371" s="28" t="s">
        <v>57</v>
      </c>
      <c r="E371" s="29">
        <v>58</v>
      </c>
      <c r="F371" s="29">
        <v>116</v>
      </c>
      <c r="G371" s="30">
        <v>23185.5</v>
      </c>
      <c r="H371" s="30">
        <v>2086.69</v>
      </c>
      <c r="I371" s="30">
        <v>16345.78</v>
      </c>
      <c r="J371" s="31">
        <v>21081.06</v>
      </c>
    </row>
    <row r="372" spans="1:10" ht="21" customHeight="1">
      <c r="A372" s="22">
        <v>45748</v>
      </c>
      <c r="B372" s="23" t="s">
        <v>37</v>
      </c>
      <c r="C372" s="23" t="s">
        <v>34</v>
      </c>
      <c r="D372" s="23" t="s">
        <v>58</v>
      </c>
      <c r="E372" s="24">
        <v>80</v>
      </c>
      <c r="F372" s="24">
        <v>160</v>
      </c>
      <c r="G372" s="25">
        <v>31980</v>
      </c>
      <c r="H372" s="25">
        <v>3997.5</v>
      </c>
      <c r="I372" s="25">
        <v>22545.9</v>
      </c>
      <c r="J372" s="26">
        <v>24774.75</v>
      </c>
    </row>
    <row r="373" spans="1:10" ht="21" customHeight="1">
      <c r="A373" s="27">
        <v>45748</v>
      </c>
      <c r="B373" s="28" t="s">
        <v>37</v>
      </c>
      <c r="C373" s="28" t="s">
        <v>35</v>
      </c>
      <c r="D373" s="28" t="s">
        <v>57</v>
      </c>
      <c r="E373" s="29">
        <v>67</v>
      </c>
      <c r="F373" s="29">
        <v>201</v>
      </c>
      <c r="G373" s="30">
        <v>29255.55</v>
      </c>
      <c r="H373" s="30">
        <v>1023.94</v>
      </c>
      <c r="I373" s="30">
        <v>17845.89</v>
      </c>
      <c r="J373" s="31">
        <v>28036.34</v>
      </c>
    </row>
    <row r="374" spans="1:10" ht="21" customHeight="1">
      <c r="A374" s="22">
        <v>45748</v>
      </c>
      <c r="B374" s="23" t="s">
        <v>37</v>
      </c>
      <c r="C374" s="23" t="s">
        <v>35</v>
      </c>
      <c r="D374" s="23" t="s">
        <v>58</v>
      </c>
      <c r="E374" s="24">
        <v>87</v>
      </c>
      <c r="F374" s="24">
        <v>261</v>
      </c>
      <c r="G374" s="25">
        <v>37988.550000000003</v>
      </c>
      <c r="H374" s="25">
        <v>2659.2</v>
      </c>
      <c r="I374" s="25">
        <v>23173.02</v>
      </c>
      <c r="J374" s="26">
        <v>32249.05</v>
      </c>
    </row>
    <row r="375" spans="1:10" ht="21" customHeight="1">
      <c r="A375" s="27">
        <v>45748</v>
      </c>
      <c r="B375" s="28" t="s">
        <v>38</v>
      </c>
      <c r="C375" s="28" t="s">
        <v>33</v>
      </c>
      <c r="D375" s="28" t="s">
        <v>57</v>
      </c>
      <c r="E375" s="29">
        <v>59</v>
      </c>
      <c r="F375" s="29">
        <v>295</v>
      </c>
      <c r="G375" s="30">
        <v>11490.25</v>
      </c>
      <c r="H375" s="30">
        <v>402.16</v>
      </c>
      <c r="I375" s="30">
        <v>6089.83</v>
      </c>
      <c r="J375" s="31">
        <v>10285.94</v>
      </c>
    </row>
    <row r="376" spans="1:10" ht="21" customHeight="1">
      <c r="A376" s="22">
        <v>45748</v>
      </c>
      <c r="B376" s="23" t="s">
        <v>38</v>
      </c>
      <c r="C376" s="23" t="s">
        <v>33</v>
      </c>
      <c r="D376" s="23" t="s">
        <v>58</v>
      </c>
      <c r="E376" s="24">
        <v>74</v>
      </c>
      <c r="F376" s="24">
        <v>370</v>
      </c>
      <c r="G376" s="25">
        <v>14411.5</v>
      </c>
      <c r="H376" s="25">
        <v>1008.81</v>
      </c>
      <c r="I376" s="25">
        <v>7638.1</v>
      </c>
      <c r="J376" s="26">
        <v>14772.12</v>
      </c>
    </row>
    <row r="377" spans="1:10" ht="21" customHeight="1">
      <c r="A377" s="27">
        <v>45748</v>
      </c>
      <c r="B377" s="28" t="s">
        <v>38</v>
      </c>
      <c r="C377" s="28" t="s">
        <v>34</v>
      </c>
      <c r="D377" s="28" t="s">
        <v>57</v>
      </c>
      <c r="E377" s="29">
        <v>66</v>
      </c>
      <c r="F377" s="29">
        <v>132</v>
      </c>
      <c r="G377" s="30">
        <v>26383.5</v>
      </c>
      <c r="H377" s="30">
        <v>2374.52</v>
      </c>
      <c r="I377" s="30">
        <v>18600.37</v>
      </c>
      <c r="J377" s="31">
        <v>24984.959999999999</v>
      </c>
    </row>
    <row r="378" spans="1:10" ht="21" customHeight="1">
      <c r="A378" s="22">
        <v>45748</v>
      </c>
      <c r="B378" s="23" t="s">
        <v>38</v>
      </c>
      <c r="C378" s="23" t="s">
        <v>34</v>
      </c>
      <c r="D378" s="23" t="s">
        <v>58</v>
      </c>
      <c r="E378" s="24">
        <v>79</v>
      </c>
      <c r="F378" s="24">
        <v>158</v>
      </c>
      <c r="G378" s="25">
        <v>31580.25</v>
      </c>
      <c r="H378" s="25">
        <v>3947.53</v>
      </c>
      <c r="I378" s="25">
        <v>22264.080000000002</v>
      </c>
      <c r="J378" s="26">
        <v>27027</v>
      </c>
    </row>
    <row r="379" spans="1:10" ht="21" customHeight="1">
      <c r="A379" s="27">
        <v>45748</v>
      </c>
      <c r="B379" s="28" t="s">
        <v>38</v>
      </c>
      <c r="C379" s="28" t="s">
        <v>35</v>
      </c>
      <c r="D379" s="28" t="s">
        <v>57</v>
      </c>
      <c r="E379" s="29">
        <v>76</v>
      </c>
      <c r="F379" s="29">
        <v>228</v>
      </c>
      <c r="G379" s="30">
        <v>33185.4</v>
      </c>
      <c r="H379" s="30">
        <v>1161.49</v>
      </c>
      <c r="I379" s="30">
        <v>20243.09</v>
      </c>
      <c r="J379" s="31">
        <v>32106.13</v>
      </c>
    </row>
    <row r="380" spans="1:10" ht="21" customHeight="1">
      <c r="A380" s="22">
        <v>45748</v>
      </c>
      <c r="B380" s="23" t="s">
        <v>38</v>
      </c>
      <c r="C380" s="23" t="s">
        <v>35</v>
      </c>
      <c r="D380" s="23" t="s">
        <v>58</v>
      </c>
      <c r="E380" s="24">
        <v>89</v>
      </c>
      <c r="F380" s="24">
        <v>267</v>
      </c>
      <c r="G380" s="25">
        <v>38861.85</v>
      </c>
      <c r="H380" s="25">
        <v>2720.33</v>
      </c>
      <c r="I380" s="25">
        <v>23705.73</v>
      </c>
      <c r="J380" s="26">
        <v>36607.03</v>
      </c>
    </row>
    <row r="381" spans="1:10" ht="21" customHeight="1">
      <c r="A381" s="27">
        <v>45748</v>
      </c>
      <c r="B381" s="28" t="s">
        <v>39</v>
      </c>
      <c r="C381" s="28" t="s">
        <v>33</v>
      </c>
      <c r="D381" s="28" t="s">
        <v>57</v>
      </c>
      <c r="E381" s="29">
        <v>69</v>
      </c>
      <c r="F381" s="29">
        <v>345</v>
      </c>
      <c r="G381" s="30">
        <v>13437.75</v>
      </c>
      <c r="H381" s="30">
        <v>470.32</v>
      </c>
      <c r="I381" s="30">
        <v>7122.01</v>
      </c>
      <c r="J381" s="31">
        <v>11496.05</v>
      </c>
    </row>
    <row r="382" spans="1:10" ht="21" customHeight="1">
      <c r="A382" s="22">
        <v>45748</v>
      </c>
      <c r="B382" s="23" t="s">
        <v>39</v>
      </c>
      <c r="C382" s="23" t="s">
        <v>33</v>
      </c>
      <c r="D382" s="23" t="s">
        <v>58</v>
      </c>
      <c r="E382" s="24">
        <v>84</v>
      </c>
      <c r="F382" s="24">
        <v>420</v>
      </c>
      <c r="G382" s="25">
        <v>16359</v>
      </c>
      <c r="H382" s="25">
        <v>1145.1300000000001</v>
      </c>
      <c r="I382" s="25">
        <v>8670.27</v>
      </c>
      <c r="J382" s="26">
        <v>15938.34</v>
      </c>
    </row>
    <row r="383" spans="1:10" ht="21" customHeight="1">
      <c r="A383" s="27">
        <v>45748</v>
      </c>
      <c r="B383" s="28" t="s">
        <v>39</v>
      </c>
      <c r="C383" s="28" t="s">
        <v>34</v>
      </c>
      <c r="D383" s="28" t="s">
        <v>57</v>
      </c>
      <c r="E383" s="29">
        <v>72</v>
      </c>
      <c r="F383" s="29">
        <v>144</v>
      </c>
      <c r="G383" s="30">
        <v>28782</v>
      </c>
      <c r="H383" s="30">
        <v>2590.38</v>
      </c>
      <c r="I383" s="30">
        <v>20291.310000000001</v>
      </c>
      <c r="J383" s="31">
        <v>27327.3</v>
      </c>
    </row>
    <row r="384" spans="1:10" ht="21" customHeight="1">
      <c r="A384" s="22">
        <v>45748</v>
      </c>
      <c r="B384" s="23" t="s">
        <v>39</v>
      </c>
      <c r="C384" s="23" t="s">
        <v>34</v>
      </c>
      <c r="D384" s="23" t="s">
        <v>58</v>
      </c>
      <c r="E384" s="24">
        <v>95</v>
      </c>
      <c r="F384" s="24">
        <v>190</v>
      </c>
      <c r="G384" s="25">
        <v>37976.25</v>
      </c>
      <c r="H384" s="25">
        <v>4747.03</v>
      </c>
      <c r="I384" s="25">
        <v>26773.26</v>
      </c>
      <c r="J384" s="26">
        <v>32657.63</v>
      </c>
    </row>
    <row r="385" spans="1:10" ht="21" customHeight="1">
      <c r="A385" s="27">
        <v>45748</v>
      </c>
      <c r="B385" s="28" t="s">
        <v>39</v>
      </c>
      <c r="C385" s="28" t="s">
        <v>35</v>
      </c>
      <c r="D385" s="28" t="s">
        <v>57</v>
      </c>
      <c r="E385" s="29">
        <v>87</v>
      </c>
      <c r="F385" s="29">
        <v>261</v>
      </c>
      <c r="G385" s="30">
        <v>37988.550000000003</v>
      </c>
      <c r="H385" s="30">
        <v>1329.6</v>
      </c>
      <c r="I385" s="30">
        <v>23173.02</v>
      </c>
      <c r="J385" s="31">
        <v>35723.72</v>
      </c>
    </row>
    <row r="386" spans="1:10" ht="21" customHeight="1">
      <c r="A386" s="22">
        <v>45748</v>
      </c>
      <c r="B386" s="23" t="s">
        <v>39</v>
      </c>
      <c r="C386" s="23" t="s">
        <v>35</v>
      </c>
      <c r="D386" s="23" t="s">
        <v>58</v>
      </c>
      <c r="E386" s="24">
        <v>108</v>
      </c>
      <c r="F386" s="24">
        <v>324</v>
      </c>
      <c r="G386" s="25">
        <v>47158.2</v>
      </c>
      <c r="H386" s="25">
        <v>3301.07</v>
      </c>
      <c r="I386" s="25">
        <v>28766.5</v>
      </c>
      <c r="J386" s="26">
        <v>37914.43</v>
      </c>
    </row>
    <row r="387" spans="1:10" ht="21" customHeight="1">
      <c r="A387" s="27">
        <v>45748</v>
      </c>
      <c r="B387" s="28" t="s">
        <v>40</v>
      </c>
      <c r="C387" s="28" t="s">
        <v>33</v>
      </c>
      <c r="D387" s="28" t="s">
        <v>57</v>
      </c>
      <c r="E387" s="29">
        <v>72</v>
      </c>
      <c r="F387" s="29">
        <v>360</v>
      </c>
      <c r="G387" s="30">
        <v>14022</v>
      </c>
      <c r="H387" s="30">
        <v>490.77</v>
      </c>
      <c r="I387" s="30">
        <v>7431.66</v>
      </c>
      <c r="J387" s="31">
        <v>15584.75</v>
      </c>
    </row>
    <row r="388" spans="1:10" ht="21" customHeight="1">
      <c r="A388" s="22">
        <v>45748</v>
      </c>
      <c r="B388" s="23" t="s">
        <v>40</v>
      </c>
      <c r="C388" s="23" t="s">
        <v>33</v>
      </c>
      <c r="D388" s="23" t="s">
        <v>58</v>
      </c>
      <c r="E388" s="24">
        <v>91</v>
      </c>
      <c r="F388" s="24">
        <v>455</v>
      </c>
      <c r="G388" s="25">
        <v>17722.25</v>
      </c>
      <c r="H388" s="25">
        <v>1240.56</v>
      </c>
      <c r="I388" s="25">
        <v>9392.7900000000009</v>
      </c>
      <c r="J388" s="26">
        <v>18553.5</v>
      </c>
    </row>
    <row r="389" spans="1:10" ht="21" customHeight="1">
      <c r="A389" s="27">
        <v>45748</v>
      </c>
      <c r="B389" s="28" t="s">
        <v>40</v>
      </c>
      <c r="C389" s="28" t="s">
        <v>34</v>
      </c>
      <c r="D389" s="28" t="s">
        <v>57</v>
      </c>
      <c r="E389" s="29">
        <v>79</v>
      </c>
      <c r="F389" s="29">
        <v>158</v>
      </c>
      <c r="G389" s="30">
        <v>31580.25</v>
      </c>
      <c r="H389" s="30">
        <v>4263.33</v>
      </c>
      <c r="I389" s="30">
        <v>22264.080000000002</v>
      </c>
      <c r="J389" s="31">
        <v>31497.38</v>
      </c>
    </row>
    <row r="390" spans="1:10" ht="21" customHeight="1">
      <c r="A390" s="22">
        <v>45748</v>
      </c>
      <c r="B390" s="23" t="s">
        <v>40</v>
      </c>
      <c r="C390" s="23" t="s">
        <v>34</v>
      </c>
      <c r="D390" s="23" t="s">
        <v>58</v>
      </c>
      <c r="E390" s="24">
        <v>99</v>
      </c>
      <c r="F390" s="24">
        <v>198</v>
      </c>
      <c r="G390" s="25">
        <v>39575.25</v>
      </c>
      <c r="H390" s="25">
        <v>6727.79</v>
      </c>
      <c r="I390" s="25">
        <v>27900.55</v>
      </c>
      <c r="J390" s="26">
        <v>41376.559999999998</v>
      </c>
    </row>
    <row r="391" spans="1:10" ht="21" customHeight="1">
      <c r="A391" s="27">
        <v>45748</v>
      </c>
      <c r="B391" s="28" t="s">
        <v>40</v>
      </c>
      <c r="C391" s="28" t="s">
        <v>35</v>
      </c>
      <c r="D391" s="28" t="s">
        <v>57</v>
      </c>
      <c r="E391" s="29">
        <v>85</v>
      </c>
      <c r="F391" s="29">
        <v>255</v>
      </c>
      <c r="G391" s="30">
        <v>37115.25</v>
      </c>
      <c r="H391" s="30">
        <v>1299.03</v>
      </c>
      <c r="I391" s="30">
        <v>22640.3</v>
      </c>
      <c r="J391" s="31">
        <v>41622.86</v>
      </c>
    </row>
    <row r="392" spans="1:10" ht="21" customHeight="1">
      <c r="A392" s="22">
        <v>45748</v>
      </c>
      <c r="B392" s="23" t="s">
        <v>40</v>
      </c>
      <c r="C392" s="23" t="s">
        <v>35</v>
      </c>
      <c r="D392" s="23" t="s">
        <v>58</v>
      </c>
      <c r="E392" s="24">
        <v>116</v>
      </c>
      <c r="F392" s="24">
        <v>348</v>
      </c>
      <c r="G392" s="25">
        <v>50651.4</v>
      </c>
      <c r="H392" s="25">
        <v>3545.6</v>
      </c>
      <c r="I392" s="25">
        <v>30897.35</v>
      </c>
      <c r="J392" s="26">
        <v>46055.93</v>
      </c>
    </row>
    <row r="393" spans="1:10" ht="21" customHeight="1">
      <c r="A393" s="27">
        <v>45778</v>
      </c>
      <c r="B393" s="28" t="s">
        <v>37</v>
      </c>
      <c r="C393" s="28" t="s">
        <v>33</v>
      </c>
      <c r="D393" s="28" t="s">
        <v>57</v>
      </c>
      <c r="E393" s="29">
        <v>58</v>
      </c>
      <c r="F393" s="29">
        <v>290</v>
      </c>
      <c r="G393" s="30">
        <v>11295.5</v>
      </c>
      <c r="H393" s="30">
        <v>395.34</v>
      </c>
      <c r="I393" s="30">
        <v>5986.62</v>
      </c>
      <c r="J393" s="31">
        <v>9680.8799999999992</v>
      </c>
    </row>
    <row r="394" spans="1:10" ht="21" customHeight="1">
      <c r="A394" s="22">
        <v>45778</v>
      </c>
      <c r="B394" s="23" t="s">
        <v>37</v>
      </c>
      <c r="C394" s="23" t="s">
        <v>33</v>
      </c>
      <c r="D394" s="23" t="s">
        <v>58</v>
      </c>
      <c r="E394" s="24">
        <v>79</v>
      </c>
      <c r="F394" s="24">
        <v>395</v>
      </c>
      <c r="G394" s="25">
        <v>15385.25</v>
      </c>
      <c r="H394" s="25">
        <v>1076.97</v>
      </c>
      <c r="I394" s="25">
        <v>8154.18</v>
      </c>
      <c r="J394" s="26">
        <v>13800.27</v>
      </c>
    </row>
    <row r="395" spans="1:10" ht="21" customHeight="1">
      <c r="A395" s="27">
        <v>45778</v>
      </c>
      <c r="B395" s="28" t="s">
        <v>37</v>
      </c>
      <c r="C395" s="28" t="s">
        <v>34</v>
      </c>
      <c r="D395" s="28" t="s">
        <v>57</v>
      </c>
      <c r="E395" s="29">
        <v>64</v>
      </c>
      <c r="F395" s="29">
        <v>128</v>
      </c>
      <c r="G395" s="30">
        <v>25584</v>
      </c>
      <c r="H395" s="30">
        <v>2302.56</v>
      </c>
      <c r="I395" s="30">
        <v>18036.72</v>
      </c>
      <c r="J395" s="31">
        <v>21471.45</v>
      </c>
    </row>
    <row r="396" spans="1:10" ht="21" customHeight="1">
      <c r="A396" s="22">
        <v>45778</v>
      </c>
      <c r="B396" s="23" t="s">
        <v>37</v>
      </c>
      <c r="C396" s="23" t="s">
        <v>34</v>
      </c>
      <c r="D396" s="23" t="s">
        <v>58</v>
      </c>
      <c r="E396" s="24">
        <v>77</v>
      </c>
      <c r="F396" s="24">
        <v>154</v>
      </c>
      <c r="G396" s="25">
        <v>30780.75</v>
      </c>
      <c r="H396" s="25">
        <v>3847.59</v>
      </c>
      <c r="I396" s="25">
        <v>21700.43</v>
      </c>
      <c r="J396" s="26">
        <v>27402.38</v>
      </c>
    </row>
    <row r="397" spans="1:10" ht="21" customHeight="1">
      <c r="A397" s="27">
        <v>45778</v>
      </c>
      <c r="B397" s="28" t="s">
        <v>37</v>
      </c>
      <c r="C397" s="28" t="s">
        <v>35</v>
      </c>
      <c r="D397" s="28" t="s">
        <v>57</v>
      </c>
      <c r="E397" s="29">
        <v>75</v>
      </c>
      <c r="F397" s="29">
        <v>225</v>
      </c>
      <c r="G397" s="30">
        <v>32748.75</v>
      </c>
      <c r="H397" s="30">
        <v>1146.21</v>
      </c>
      <c r="I397" s="30">
        <v>19976.740000000002</v>
      </c>
      <c r="J397" s="31">
        <v>30297.33</v>
      </c>
    </row>
    <row r="398" spans="1:10" ht="21" customHeight="1">
      <c r="A398" s="22">
        <v>45778</v>
      </c>
      <c r="B398" s="23" t="s">
        <v>37</v>
      </c>
      <c r="C398" s="23" t="s">
        <v>35</v>
      </c>
      <c r="D398" s="23" t="s">
        <v>58</v>
      </c>
      <c r="E398" s="24">
        <v>87</v>
      </c>
      <c r="F398" s="24">
        <v>261</v>
      </c>
      <c r="G398" s="25">
        <v>37988.550000000003</v>
      </c>
      <c r="H398" s="25">
        <v>2659.2</v>
      </c>
      <c r="I398" s="25">
        <v>23173.02</v>
      </c>
      <c r="J398" s="26">
        <v>33556.449999999997</v>
      </c>
    </row>
    <row r="399" spans="1:10" ht="21" customHeight="1">
      <c r="A399" s="27">
        <v>45778</v>
      </c>
      <c r="B399" s="28" t="s">
        <v>38</v>
      </c>
      <c r="C399" s="28" t="s">
        <v>33</v>
      </c>
      <c r="D399" s="28" t="s">
        <v>57</v>
      </c>
      <c r="E399" s="29">
        <v>65</v>
      </c>
      <c r="F399" s="29">
        <v>325</v>
      </c>
      <c r="G399" s="30">
        <v>12658.75</v>
      </c>
      <c r="H399" s="30">
        <v>443.06</v>
      </c>
      <c r="I399" s="30">
        <v>6709.14</v>
      </c>
      <c r="J399" s="31">
        <v>10890.99</v>
      </c>
    </row>
    <row r="400" spans="1:10" ht="21" customHeight="1">
      <c r="A400" s="22">
        <v>45778</v>
      </c>
      <c r="B400" s="23" t="s">
        <v>38</v>
      </c>
      <c r="C400" s="23" t="s">
        <v>33</v>
      </c>
      <c r="D400" s="23" t="s">
        <v>58</v>
      </c>
      <c r="E400" s="24">
        <v>80</v>
      </c>
      <c r="F400" s="24">
        <v>400</v>
      </c>
      <c r="G400" s="25">
        <v>15580</v>
      </c>
      <c r="H400" s="25">
        <v>1090.5999999999999</v>
      </c>
      <c r="I400" s="25">
        <v>8257.4</v>
      </c>
      <c r="J400" s="26">
        <v>14772.12</v>
      </c>
    </row>
    <row r="401" spans="1:10" ht="21" customHeight="1">
      <c r="A401" s="27">
        <v>45778</v>
      </c>
      <c r="B401" s="28" t="s">
        <v>38</v>
      </c>
      <c r="C401" s="28" t="s">
        <v>34</v>
      </c>
      <c r="D401" s="28" t="s">
        <v>57</v>
      </c>
      <c r="E401" s="29">
        <v>69</v>
      </c>
      <c r="F401" s="29">
        <v>138</v>
      </c>
      <c r="G401" s="30">
        <v>27582.75</v>
      </c>
      <c r="H401" s="30">
        <v>2482.4499999999998</v>
      </c>
      <c r="I401" s="30">
        <v>19445.84</v>
      </c>
      <c r="J401" s="31">
        <v>26156.13</v>
      </c>
    </row>
    <row r="402" spans="1:10" ht="21" customHeight="1">
      <c r="A402" s="22">
        <v>45778</v>
      </c>
      <c r="B402" s="23" t="s">
        <v>38</v>
      </c>
      <c r="C402" s="23" t="s">
        <v>34</v>
      </c>
      <c r="D402" s="23" t="s">
        <v>58</v>
      </c>
      <c r="E402" s="24">
        <v>91</v>
      </c>
      <c r="F402" s="24">
        <v>182</v>
      </c>
      <c r="G402" s="25">
        <v>36377.25</v>
      </c>
      <c r="H402" s="25">
        <v>4547.16</v>
      </c>
      <c r="I402" s="25">
        <v>25645.96</v>
      </c>
      <c r="J402" s="26">
        <v>29279.25</v>
      </c>
    </row>
    <row r="403" spans="1:10" ht="21" customHeight="1">
      <c r="A403" s="27">
        <v>45778</v>
      </c>
      <c r="B403" s="28" t="s">
        <v>38</v>
      </c>
      <c r="C403" s="28" t="s">
        <v>35</v>
      </c>
      <c r="D403" s="28" t="s">
        <v>57</v>
      </c>
      <c r="E403" s="29">
        <v>80</v>
      </c>
      <c r="F403" s="29">
        <v>240</v>
      </c>
      <c r="G403" s="30">
        <v>34932</v>
      </c>
      <c r="H403" s="30">
        <v>1222.6199999999999</v>
      </c>
      <c r="I403" s="30">
        <v>21308.52</v>
      </c>
      <c r="J403" s="31">
        <v>34819.32</v>
      </c>
    </row>
    <row r="404" spans="1:10" ht="21" customHeight="1">
      <c r="A404" s="22">
        <v>45778</v>
      </c>
      <c r="B404" s="23" t="s">
        <v>38</v>
      </c>
      <c r="C404" s="23" t="s">
        <v>35</v>
      </c>
      <c r="D404" s="23" t="s">
        <v>58</v>
      </c>
      <c r="E404" s="24">
        <v>96</v>
      </c>
      <c r="F404" s="24">
        <v>288</v>
      </c>
      <c r="G404" s="25">
        <v>41918.400000000001</v>
      </c>
      <c r="H404" s="25">
        <v>2934.29</v>
      </c>
      <c r="I404" s="25">
        <v>25570.22</v>
      </c>
      <c r="J404" s="26">
        <v>39657.620000000003</v>
      </c>
    </row>
    <row r="405" spans="1:10" ht="21" customHeight="1">
      <c r="A405" s="27">
        <v>45778</v>
      </c>
      <c r="B405" s="28" t="s">
        <v>39</v>
      </c>
      <c r="C405" s="28" t="s">
        <v>33</v>
      </c>
      <c r="D405" s="28" t="s">
        <v>57</v>
      </c>
      <c r="E405" s="29">
        <v>75</v>
      </c>
      <c r="F405" s="29">
        <v>375</v>
      </c>
      <c r="G405" s="30">
        <v>14606.25</v>
      </c>
      <c r="H405" s="30">
        <v>511.22</v>
      </c>
      <c r="I405" s="30">
        <v>7741.31</v>
      </c>
      <c r="J405" s="31">
        <v>12302.79</v>
      </c>
    </row>
    <row r="406" spans="1:10" ht="21" customHeight="1">
      <c r="A406" s="22">
        <v>45778</v>
      </c>
      <c r="B406" s="23" t="s">
        <v>39</v>
      </c>
      <c r="C406" s="23" t="s">
        <v>33</v>
      </c>
      <c r="D406" s="23" t="s">
        <v>58</v>
      </c>
      <c r="E406" s="24">
        <v>87</v>
      </c>
      <c r="F406" s="24">
        <v>435</v>
      </c>
      <c r="G406" s="25">
        <v>16943.25</v>
      </c>
      <c r="H406" s="25">
        <v>1186.03</v>
      </c>
      <c r="I406" s="25">
        <v>8979.92</v>
      </c>
      <c r="J406" s="26">
        <v>17104.560000000001</v>
      </c>
    </row>
    <row r="407" spans="1:10" ht="21" customHeight="1">
      <c r="A407" s="27">
        <v>45778</v>
      </c>
      <c r="B407" s="28" t="s">
        <v>39</v>
      </c>
      <c r="C407" s="28" t="s">
        <v>34</v>
      </c>
      <c r="D407" s="28" t="s">
        <v>57</v>
      </c>
      <c r="E407" s="29">
        <v>77</v>
      </c>
      <c r="F407" s="29">
        <v>154</v>
      </c>
      <c r="G407" s="30">
        <v>30780.75</v>
      </c>
      <c r="H407" s="30">
        <v>2770.27</v>
      </c>
      <c r="I407" s="30">
        <v>21700.43</v>
      </c>
      <c r="J407" s="31">
        <v>29669.64</v>
      </c>
    </row>
    <row r="408" spans="1:10" ht="21" customHeight="1">
      <c r="A408" s="22">
        <v>45778</v>
      </c>
      <c r="B408" s="23" t="s">
        <v>39</v>
      </c>
      <c r="C408" s="23" t="s">
        <v>34</v>
      </c>
      <c r="D408" s="23" t="s">
        <v>58</v>
      </c>
      <c r="E408" s="24">
        <v>103</v>
      </c>
      <c r="F408" s="24">
        <v>206</v>
      </c>
      <c r="G408" s="25">
        <v>41174.25</v>
      </c>
      <c r="H408" s="25">
        <v>5146.78</v>
      </c>
      <c r="I408" s="25">
        <v>29027.85</v>
      </c>
      <c r="J408" s="26">
        <v>36786.75</v>
      </c>
    </row>
    <row r="409" spans="1:10" ht="21" customHeight="1">
      <c r="A409" s="27">
        <v>45778</v>
      </c>
      <c r="B409" s="28" t="s">
        <v>39</v>
      </c>
      <c r="C409" s="28" t="s">
        <v>35</v>
      </c>
      <c r="D409" s="28" t="s">
        <v>57</v>
      </c>
      <c r="E409" s="29">
        <v>82</v>
      </c>
      <c r="F409" s="29">
        <v>246</v>
      </c>
      <c r="G409" s="30">
        <v>35805.300000000003</v>
      </c>
      <c r="H409" s="30">
        <v>1253.19</v>
      </c>
      <c r="I409" s="30">
        <v>21841.23</v>
      </c>
      <c r="J409" s="31">
        <v>34367.120000000003</v>
      </c>
    </row>
    <row r="410" spans="1:10" ht="21" customHeight="1">
      <c r="A410" s="22">
        <v>45778</v>
      </c>
      <c r="B410" s="23" t="s">
        <v>39</v>
      </c>
      <c r="C410" s="23" t="s">
        <v>35</v>
      </c>
      <c r="D410" s="23" t="s">
        <v>58</v>
      </c>
      <c r="E410" s="24">
        <v>116</v>
      </c>
      <c r="F410" s="24">
        <v>348</v>
      </c>
      <c r="G410" s="25">
        <v>50651.4</v>
      </c>
      <c r="H410" s="25">
        <v>3545.6</v>
      </c>
      <c r="I410" s="25">
        <v>30897.35</v>
      </c>
      <c r="J410" s="26">
        <v>42708.2</v>
      </c>
    </row>
    <row r="411" spans="1:10" ht="21" customHeight="1">
      <c r="A411" s="27">
        <v>45778</v>
      </c>
      <c r="B411" s="28" t="s">
        <v>40</v>
      </c>
      <c r="C411" s="28" t="s">
        <v>33</v>
      </c>
      <c r="D411" s="28" t="s">
        <v>57</v>
      </c>
      <c r="E411" s="29">
        <v>76</v>
      </c>
      <c r="F411" s="29">
        <v>380</v>
      </c>
      <c r="G411" s="30">
        <v>14801</v>
      </c>
      <c r="H411" s="30">
        <v>518.04</v>
      </c>
      <c r="I411" s="30">
        <v>7844.53</v>
      </c>
      <c r="J411" s="31">
        <v>16501.5</v>
      </c>
    </row>
    <row r="412" spans="1:10" ht="21" customHeight="1">
      <c r="A412" s="22">
        <v>45778</v>
      </c>
      <c r="B412" s="23" t="s">
        <v>40</v>
      </c>
      <c r="C412" s="23" t="s">
        <v>33</v>
      </c>
      <c r="D412" s="23" t="s">
        <v>58</v>
      </c>
      <c r="E412" s="24">
        <v>109</v>
      </c>
      <c r="F412" s="24">
        <v>545</v>
      </c>
      <c r="G412" s="25">
        <v>21227.75</v>
      </c>
      <c r="H412" s="25">
        <v>1485.94</v>
      </c>
      <c r="I412" s="25">
        <v>11250.71</v>
      </c>
      <c r="J412" s="26">
        <v>21866.63</v>
      </c>
    </row>
    <row r="413" spans="1:10" ht="21" customHeight="1">
      <c r="A413" s="27">
        <v>45778</v>
      </c>
      <c r="B413" s="28" t="s">
        <v>40</v>
      </c>
      <c r="C413" s="28" t="s">
        <v>34</v>
      </c>
      <c r="D413" s="28" t="s">
        <v>57</v>
      </c>
      <c r="E413" s="29">
        <v>87</v>
      </c>
      <c r="F413" s="29">
        <v>174</v>
      </c>
      <c r="G413" s="30">
        <v>34778.25</v>
      </c>
      <c r="H413" s="30">
        <v>4695.0600000000004</v>
      </c>
      <c r="I413" s="30">
        <v>24518.67</v>
      </c>
      <c r="J413" s="31">
        <v>36820.879999999997</v>
      </c>
    </row>
    <row r="414" spans="1:10" ht="21" customHeight="1">
      <c r="A414" s="22">
        <v>45778</v>
      </c>
      <c r="B414" s="23" t="s">
        <v>40</v>
      </c>
      <c r="C414" s="23" t="s">
        <v>34</v>
      </c>
      <c r="D414" s="23" t="s">
        <v>58</v>
      </c>
      <c r="E414" s="24">
        <v>115</v>
      </c>
      <c r="F414" s="24">
        <v>230</v>
      </c>
      <c r="G414" s="25">
        <v>45971.25</v>
      </c>
      <c r="H414" s="25">
        <v>7815.11</v>
      </c>
      <c r="I414" s="25">
        <v>32409.73</v>
      </c>
      <c r="J414" s="26">
        <v>43509.38</v>
      </c>
    </row>
    <row r="415" spans="1:10" ht="21" customHeight="1">
      <c r="A415" s="27">
        <v>45778</v>
      </c>
      <c r="B415" s="28" t="s">
        <v>40</v>
      </c>
      <c r="C415" s="28" t="s">
        <v>35</v>
      </c>
      <c r="D415" s="28" t="s">
        <v>57</v>
      </c>
      <c r="E415" s="29">
        <v>104</v>
      </c>
      <c r="F415" s="29">
        <v>312</v>
      </c>
      <c r="G415" s="30">
        <v>45411.6</v>
      </c>
      <c r="H415" s="30">
        <v>1589.41</v>
      </c>
      <c r="I415" s="30">
        <v>27701.08</v>
      </c>
      <c r="J415" s="31">
        <v>43164.45</v>
      </c>
    </row>
    <row r="416" spans="1:10" ht="21" customHeight="1">
      <c r="A416" s="22">
        <v>45778</v>
      </c>
      <c r="B416" s="23" t="s">
        <v>40</v>
      </c>
      <c r="C416" s="23" t="s">
        <v>35</v>
      </c>
      <c r="D416" s="23" t="s">
        <v>58</v>
      </c>
      <c r="E416" s="24">
        <v>118</v>
      </c>
      <c r="F416" s="24">
        <v>354</v>
      </c>
      <c r="G416" s="25">
        <v>51524.7</v>
      </c>
      <c r="H416" s="25">
        <v>3606.73</v>
      </c>
      <c r="I416" s="25">
        <v>31430.07</v>
      </c>
      <c r="J416" s="26">
        <v>51503.4</v>
      </c>
    </row>
    <row r="417" spans="1:10" ht="21" customHeight="1">
      <c r="A417" s="27">
        <v>45809</v>
      </c>
      <c r="B417" s="28" t="s">
        <v>37</v>
      </c>
      <c r="C417" s="28" t="s">
        <v>33</v>
      </c>
      <c r="D417" s="28" t="s">
        <v>57</v>
      </c>
      <c r="E417" s="29">
        <v>54</v>
      </c>
      <c r="F417" s="29">
        <v>270</v>
      </c>
      <c r="G417" s="30">
        <v>10516.5</v>
      </c>
      <c r="H417" s="30">
        <v>368.08</v>
      </c>
      <c r="I417" s="30">
        <v>5573.75</v>
      </c>
      <c r="J417" s="31">
        <v>10689.31</v>
      </c>
    </row>
    <row r="418" spans="1:10" ht="21" customHeight="1">
      <c r="A418" s="22">
        <v>45809</v>
      </c>
      <c r="B418" s="23" t="s">
        <v>37</v>
      </c>
      <c r="C418" s="23" t="s">
        <v>33</v>
      </c>
      <c r="D418" s="23" t="s">
        <v>58</v>
      </c>
      <c r="E418" s="24">
        <v>77</v>
      </c>
      <c r="F418" s="24">
        <v>385</v>
      </c>
      <c r="G418" s="25">
        <v>14995.75</v>
      </c>
      <c r="H418" s="25">
        <v>1049.7</v>
      </c>
      <c r="I418" s="25">
        <v>7947.75</v>
      </c>
      <c r="J418" s="26">
        <v>13411.53</v>
      </c>
    </row>
    <row r="419" spans="1:10" ht="21" customHeight="1">
      <c r="A419" s="27">
        <v>45809</v>
      </c>
      <c r="B419" s="28" t="s">
        <v>37</v>
      </c>
      <c r="C419" s="28" t="s">
        <v>34</v>
      </c>
      <c r="D419" s="28" t="s">
        <v>57</v>
      </c>
      <c r="E419" s="29">
        <v>66</v>
      </c>
      <c r="F419" s="29">
        <v>132</v>
      </c>
      <c r="G419" s="30">
        <v>26383.5</v>
      </c>
      <c r="H419" s="30">
        <v>2374.52</v>
      </c>
      <c r="I419" s="30">
        <v>18600.37</v>
      </c>
      <c r="J419" s="31">
        <v>21861.84</v>
      </c>
    </row>
    <row r="420" spans="1:10" ht="21" customHeight="1">
      <c r="A420" s="22">
        <v>45809</v>
      </c>
      <c r="B420" s="23" t="s">
        <v>37</v>
      </c>
      <c r="C420" s="23" t="s">
        <v>34</v>
      </c>
      <c r="D420" s="23" t="s">
        <v>58</v>
      </c>
      <c r="E420" s="24">
        <v>90</v>
      </c>
      <c r="F420" s="24">
        <v>180</v>
      </c>
      <c r="G420" s="25">
        <v>35977.5</v>
      </c>
      <c r="H420" s="25">
        <v>4497.1899999999996</v>
      </c>
      <c r="I420" s="25">
        <v>25364.14</v>
      </c>
      <c r="J420" s="26">
        <v>27402.38</v>
      </c>
    </row>
    <row r="421" spans="1:10" ht="21" customHeight="1">
      <c r="A421" s="27">
        <v>45809</v>
      </c>
      <c r="B421" s="28" t="s">
        <v>37</v>
      </c>
      <c r="C421" s="28" t="s">
        <v>35</v>
      </c>
      <c r="D421" s="28" t="s">
        <v>57</v>
      </c>
      <c r="E421" s="29">
        <v>75</v>
      </c>
      <c r="F421" s="29">
        <v>225</v>
      </c>
      <c r="G421" s="30">
        <v>32748.75</v>
      </c>
      <c r="H421" s="30">
        <v>1146.21</v>
      </c>
      <c r="I421" s="30">
        <v>19976.740000000002</v>
      </c>
      <c r="J421" s="31">
        <v>28036.34</v>
      </c>
    </row>
    <row r="422" spans="1:10" ht="21" customHeight="1">
      <c r="A422" s="22">
        <v>45809</v>
      </c>
      <c r="B422" s="23" t="s">
        <v>37</v>
      </c>
      <c r="C422" s="23" t="s">
        <v>35</v>
      </c>
      <c r="D422" s="23" t="s">
        <v>58</v>
      </c>
      <c r="E422" s="24">
        <v>92</v>
      </c>
      <c r="F422" s="24">
        <v>276</v>
      </c>
      <c r="G422" s="25">
        <v>40171.800000000003</v>
      </c>
      <c r="H422" s="25">
        <v>2812.03</v>
      </c>
      <c r="I422" s="25">
        <v>24504.799999999999</v>
      </c>
      <c r="J422" s="26">
        <v>38350.22</v>
      </c>
    </row>
    <row r="423" spans="1:10" ht="21" customHeight="1">
      <c r="A423" s="27">
        <v>45809</v>
      </c>
      <c r="B423" s="28" t="s">
        <v>38</v>
      </c>
      <c r="C423" s="28" t="s">
        <v>33</v>
      </c>
      <c r="D423" s="28" t="s">
        <v>57</v>
      </c>
      <c r="E423" s="29">
        <v>64</v>
      </c>
      <c r="F423" s="29">
        <v>320</v>
      </c>
      <c r="G423" s="30">
        <v>12464</v>
      </c>
      <c r="H423" s="30">
        <v>436.24</v>
      </c>
      <c r="I423" s="30">
        <v>6605.92</v>
      </c>
      <c r="J423" s="31">
        <v>12302.79</v>
      </c>
    </row>
    <row r="424" spans="1:10" ht="21" customHeight="1">
      <c r="A424" s="22">
        <v>45809</v>
      </c>
      <c r="B424" s="23" t="s">
        <v>38</v>
      </c>
      <c r="C424" s="23" t="s">
        <v>33</v>
      </c>
      <c r="D424" s="23" t="s">
        <v>58</v>
      </c>
      <c r="E424" s="24">
        <v>88</v>
      </c>
      <c r="F424" s="24">
        <v>440</v>
      </c>
      <c r="G424" s="25">
        <v>17138</v>
      </c>
      <c r="H424" s="25">
        <v>1199.6600000000001</v>
      </c>
      <c r="I424" s="25">
        <v>9083.14</v>
      </c>
      <c r="J424" s="26">
        <v>15938.34</v>
      </c>
    </row>
    <row r="425" spans="1:10" ht="21" customHeight="1">
      <c r="A425" s="27">
        <v>45809</v>
      </c>
      <c r="B425" s="28" t="s">
        <v>38</v>
      </c>
      <c r="C425" s="28" t="s">
        <v>34</v>
      </c>
      <c r="D425" s="28" t="s">
        <v>57</v>
      </c>
      <c r="E425" s="29">
        <v>80</v>
      </c>
      <c r="F425" s="29">
        <v>160</v>
      </c>
      <c r="G425" s="30">
        <v>31980</v>
      </c>
      <c r="H425" s="30">
        <v>2878.2</v>
      </c>
      <c r="I425" s="30">
        <v>22545.9</v>
      </c>
      <c r="J425" s="31">
        <v>26156.13</v>
      </c>
    </row>
    <row r="426" spans="1:10" ht="21" customHeight="1">
      <c r="A426" s="22">
        <v>45809</v>
      </c>
      <c r="B426" s="23" t="s">
        <v>38</v>
      </c>
      <c r="C426" s="23" t="s">
        <v>34</v>
      </c>
      <c r="D426" s="23" t="s">
        <v>58</v>
      </c>
      <c r="E426" s="24">
        <v>96</v>
      </c>
      <c r="F426" s="24">
        <v>192</v>
      </c>
      <c r="G426" s="25">
        <v>38376</v>
      </c>
      <c r="H426" s="25">
        <v>4797</v>
      </c>
      <c r="I426" s="25">
        <v>27055.08</v>
      </c>
      <c r="J426" s="26">
        <v>30405.38</v>
      </c>
    </row>
    <row r="427" spans="1:10" ht="21" customHeight="1">
      <c r="A427" s="27">
        <v>45809</v>
      </c>
      <c r="B427" s="28" t="s">
        <v>38</v>
      </c>
      <c r="C427" s="28" t="s">
        <v>35</v>
      </c>
      <c r="D427" s="28" t="s">
        <v>57</v>
      </c>
      <c r="E427" s="29">
        <v>82</v>
      </c>
      <c r="F427" s="29">
        <v>246</v>
      </c>
      <c r="G427" s="30">
        <v>35805.300000000003</v>
      </c>
      <c r="H427" s="30">
        <v>1253.19</v>
      </c>
      <c r="I427" s="30">
        <v>21841.23</v>
      </c>
      <c r="J427" s="31">
        <v>33010.53</v>
      </c>
    </row>
    <row r="428" spans="1:10" ht="21" customHeight="1">
      <c r="A428" s="22">
        <v>45809</v>
      </c>
      <c r="B428" s="23" t="s">
        <v>38</v>
      </c>
      <c r="C428" s="23" t="s">
        <v>35</v>
      </c>
      <c r="D428" s="23" t="s">
        <v>58</v>
      </c>
      <c r="E428" s="24">
        <v>101</v>
      </c>
      <c r="F428" s="24">
        <v>303</v>
      </c>
      <c r="G428" s="25">
        <v>44101.65</v>
      </c>
      <c r="H428" s="25">
        <v>3087.12</v>
      </c>
      <c r="I428" s="25">
        <v>26902.01</v>
      </c>
      <c r="J428" s="26">
        <v>38786.019999999997</v>
      </c>
    </row>
    <row r="429" spans="1:10" ht="21" customHeight="1">
      <c r="A429" s="27">
        <v>45809</v>
      </c>
      <c r="B429" s="28" t="s">
        <v>39</v>
      </c>
      <c r="C429" s="28" t="s">
        <v>33</v>
      </c>
      <c r="D429" s="28" t="s">
        <v>57</v>
      </c>
      <c r="E429" s="29">
        <v>83</v>
      </c>
      <c r="F429" s="29">
        <v>415</v>
      </c>
      <c r="G429" s="30">
        <v>16164.25</v>
      </c>
      <c r="H429" s="30">
        <v>565.75</v>
      </c>
      <c r="I429" s="30">
        <v>8567.0499999999993</v>
      </c>
      <c r="J429" s="31">
        <v>14117.95</v>
      </c>
    </row>
    <row r="430" spans="1:10" ht="21" customHeight="1">
      <c r="A430" s="22">
        <v>45809</v>
      </c>
      <c r="B430" s="23" t="s">
        <v>39</v>
      </c>
      <c r="C430" s="23" t="s">
        <v>33</v>
      </c>
      <c r="D430" s="23" t="s">
        <v>58</v>
      </c>
      <c r="E430" s="24">
        <v>93</v>
      </c>
      <c r="F430" s="24">
        <v>465</v>
      </c>
      <c r="G430" s="25">
        <v>18111.75</v>
      </c>
      <c r="H430" s="25">
        <v>1267.82</v>
      </c>
      <c r="I430" s="25">
        <v>9599.23</v>
      </c>
      <c r="J430" s="26">
        <v>16910.189999999999</v>
      </c>
    </row>
    <row r="431" spans="1:10" ht="21" customHeight="1">
      <c r="A431" s="27">
        <v>45809</v>
      </c>
      <c r="B431" s="28" t="s">
        <v>39</v>
      </c>
      <c r="C431" s="28" t="s">
        <v>34</v>
      </c>
      <c r="D431" s="28" t="s">
        <v>57</v>
      </c>
      <c r="E431" s="29">
        <v>82</v>
      </c>
      <c r="F431" s="29">
        <v>164</v>
      </c>
      <c r="G431" s="30">
        <v>32779.5</v>
      </c>
      <c r="H431" s="30">
        <v>2950.16</v>
      </c>
      <c r="I431" s="30">
        <v>23109.55</v>
      </c>
      <c r="J431" s="31">
        <v>31621.59</v>
      </c>
    </row>
    <row r="432" spans="1:10" ht="21" customHeight="1">
      <c r="A432" s="22">
        <v>45809</v>
      </c>
      <c r="B432" s="23" t="s">
        <v>39</v>
      </c>
      <c r="C432" s="23" t="s">
        <v>34</v>
      </c>
      <c r="D432" s="23" t="s">
        <v>58</v>
      </c>
      <c r="E432" s="24">
        <v>101</v>
      </c>
      <c r="F432" s="24">
        <v>202</v>
      </c>
      <c r="G432" s="25">
        <v>40374.75</v>
      </c>
      <c r="H432" s="25">
        <v>5046.84</v>
      </c>
      <c r="I432" s="25">
        <v>28464.2</v>
      </c>
      <c r="J432" s="26">
        <v>35285.25</v>
      </c>
    </row>
    <row r="433" spans="1:10" ht="21" customHeight="1">
      <c r="A433" s="27">
        <v>45809</v>
      </c>
      <c r="B433" s="28" t="s">
        <v>39</v>
      </c>
      <c r="C433" s="28" t="s">
        <v>35</v>
      </c>
      <c r="D433" s="28" t="s">
        <v>57</v>
      </c>
      <c r="E433" s="29">
        <v>95</v>
      </c>
      <c r="F433" s="29">
        <v>285</v>
      </c>
      <c r="G433" s="30">
        <v>41481.75</v>
      </c>
      <c r="H433" s="30">
        <v>1451.86</v>
      </c>
      <c r="I433" s="30">
        <v>25303.87</v>
      </c>
      <c r="J433" s="31">
        <v>36175.919999999998</v>
      </c>
    </row>
    <row r="434" spans="1:10" ht="21" customHeight="1">
      <c r="A434" s="22">
        <v>45809</v>
      </c>
      <c r="B434" s="23" t="s">
        <v>39</v>
      </c>
      <c r="C434" s="23" t="s">
        <v>35</v>
      </c>
      <c r="D434" s="23" t="s">
        <v>58</v>
      </c>
      <c r="E434" s="24">
        <v>113</v>
      </c>
      <c r="F434" s="24">
        <v>339</v>
      </c>
      <c r="G434" s="25">
        <v>49341.45</v>
      </c>
      <c r="H434" s="25">
        <v>3453.9</v>
      </c>
      <c r="I434" s="25">
        <v>30098.28</v>
      </c>
      <c r="J434" s="26">
        <v>47937.78</v>
      </c>
    </row>
    <row r="435" spans="1:10" ht="21" customHeight="1">
      <c r="A435" s="27">
        <v>45809</v>
      </c>
      <c r="B435" s="28" t="s">
        <v>40</v>
      </c>
      <c r="C435" s="28" t="s">
        <v>33</v>
      </c>
      <c r="D435" s="28" t="s">
        <v>57</v>
      </c>
      <c r="E435" s="29">
        <v>88</v>
      </c>
      <c r="F435" s="29">
        <v>440</v>
      </c>
      <c r="G435" s="30">
        <v>17138</v>
      </c>
      <c r="H435" s="30">
        <v>599.83000000000004</v>
      </c>
      <c r="I435" s="30">
        <v>9083.14</v>
      </c>
      <c r="J435" s="31">
        <v>17189.060000000001</v>
      </c>
    </row>
    <row r="436" spans="1:10" ht="21" customHeight="1">
      <c r="A436" s="22">
        <v>45809</v>
      </c>
      <c r="B436" s="23" t="s">
        <v>40</v>
      </c>
      <c r="C436" s="23" t="s">
        <v>33</v>
      </c>
      <c r="D436" s="23" t="s">
        <v>58</v>
      </c>
      <c r="E436" s="24">
        <v>105</v>
      </c>
      <c r="F436" s="24">
        <v>525</v>
      </c>
      <c r="G436" s="25">
        <v>20448.75</v>
      </c>
      <c r="H436" s="25">
        <v>1431.41</v>
      </c>
      <c r="I436" s="25">
        <v>10837.84</v>
      </c>
      <c r="J436" s="26">
        <v>19878.75</v>
      </c>
    </row>
    <row r="437" spans="1:10" ht="21" customHeight="1">
      <c r="A437" s="27">
        <v>45809</v>
      </c>
      <c r="B437" s="28" t="s">
        <v>40</v>
      </c>
      <c r="C437" s="28" t="s">
        <v>34</v>
      </c>
      <c r="D437" s="28" t="s">
        <v>57</v>
      </c>
      <c r="E437" s="29">
        <v>101</v>
      </c>
      <c r="F437" s="29">
        <v>202</v>
      </c>
      <c r="G437" s="30">
        <v>40374.75</v>
      </c>
      <c r="H437" s="30">
        <v>5450.59</v>
      </c>
      <c r="I437" s="30">
        <v>28464.2</v>
      </c>
      <c r="J437" s="31">
        <v>36820.879999999997</v>
      </c>
    </row>
    <row r="438" spans="1:10" ht="21" customHeight="1">
      <c r="A438" s="22">
        <v>45809</v>
      </c>
      <c r="B438" s="23" t="s">
        <v>40</v>
      </c>
      <c r="C438" s="23" t="s">
        <v>34</v>
      </c>
      <c r="D438" s="23" t="s">
        <v>58</v>
      </c>
      <c r="E438" s="24">
        <v>112</v>
      </c>
      <c r="F438" s="24">
        <v>224</v>
      </c>
      <c r="G438" s="25">
        <v>44772</v>
      </c>
      <c r="H438" s="25">
        <v>7611.24</v>
      </c>
      <c r="I438" s="25">
        <v>31564.26</v>
      </c>
      <c r="J438" s="26">
        <v>42656.25</v>
      </c>
    </row>
    <row r="439" spans="1:10" ht="21" customHeight="1">
      <c r="A439" s="27">
        <v>45809</v>
      </c>
      <c r="B439" s="28" t="s">
        <v>40</v>
      </c>
      <c r="C439" s="28" t="s">
        <v>35</v>
      </c>
      <c r="D439" s="28" t="s">
        <v>57</v>
      </c>
      <c r="E439" s="29">
        <v>99</v>
      </c>
      <c r="F439" s="29">
        <v>297</v>
      </c>
      <c r="G439" s="30">
        <v>43228.35</v>
      </c>
      <c r="H439" s="30">
        <v>1512.99</v>
      </c>
      <c r="I439" s="30">
        <v>26369.29</v>
      </c>
      <c r="J439" s="31">
        <v>51386.25</v>
      </c>
    </row>
    <row r="440" spans="1:10" ht="21" customHeight="1">
      <c r="A440" s="22">
        <v>45809</v>
      </c>
      <c r="B440" s="23" t="s">
        <v>40</v>
      </c>
      <c r="C440" s="23" t="s">
        <v>35</v>
      </c>
      <c r="D440" s="23" t="s">
        <v>58</v>
      </c>
      <c r="E440" s="24">
        <v>119</v>
      </c>
      <c r="F440" s="24">
        <v>357</v>
      </c>
      <c r="G440" s="25">
        <v>51961.35</v>
      </c>
      <c r="H440" s="25">
        <v>3637.29</v>
      </c>
      <c r="I440" s="25">
        <v>31696.42</v>
      </c>
      <c r="J440" s="26">
        <v>53979.53</v>
      </c>
    </row>
    <row r="441" spans="1:10" ht="21" customHeight="1">
      <c r="A441" s="27">
        <v>45839</v>
      </c>
      <c r="B441" s="28" t="s">
        <v>37</v>
      </c>
      <c r="C441" s="28" t="s">
        <v>33</v>
      </c>
      <c r="D441" s="28" t="s">
        <v>57</v>
      </c>
      <c r="E441" s="29">
        <v>52</v>
      </c>
      <c r="F441" s="29">
        <v>260</v>
      </c>
      <c r="G441" s="30">
        <v>10127</v>
      </c>
      <c r="H441" s="30">
        <v>354.45</v>
      </c>
      <c r="I441" s="30">
        <v>5367.31</v>
      </c>
      <c r="J441" s="31">
        <v>8672.4599999999991</v>
      </c>
    </row>
    <row r="442" spans="1:10" ht="21" customHeight="1">
      <c r="A442" s="22">
        <v>45839</v>
      </c>
      <c r="B442" s="23" t="s">
        <v>37</v>
      </c>
      <c r="C442" s="23" t="s">
        <v>33</v>
      </c>
      <c r="D442" s="23" t="s">
        <v>58</v>
      </c>
      <c r="E442" s="24">
        <v>71</v>
      </c>
      <c r="F442" s="24">
        <v>355</v>
      </c>
      <c r="G442" s="25">
        <v>13827.25</v>
      </c>
      <c r="H442" s="25">
        <v>967.91</v>
      </c>
      <c r="I442" s="25">
        <v>7328.44</v>
      </c>
      <c r="J442" s="26">
        <v>12050.94</v>
      </c>
    </row>
    <row r="443" spans="1:10" ht="21" customHeight="1">
      <c r="A443" s="27">
        <v>45839</v>
      </c>
      <c r="B443" s="28" t="s">
        <v>37</v>
      </c>
      <c r="C443" s="28" t="s">
        <v>34</v>
      </c>
      <c r="D443" s="28" t="s">
        <v>57</v>
      </c>
      <c r="E443" s="29">
        <v>63</v>
      </c>
      <c r="F443" s="29">
        <v>126</v>
      </c>
      <c r="G443" s="30">
        <v>25184.25</v>
      </c>
      <c r="H443" s="30">
        <v>2266.58</v>
      </c>
      <c r="I443" s="30">
        <v>17754.900000000001</v>
      </c>
      <c r="J443" s="31">
        <v>22252.23</v>
      </c>
    </row>
    <row r="444" spans="1:10" ht="21" customHeight="1">
      <c r="A444" s="22">
        <v>45839</v>
      </c>
      <c r="B444" s="23" t="s">
        <v>37</v>
      </c>
      <c r="C444" s="23" t="s">
        <v>34</v>
      </c>
      <c r="D444" s="23" t="s">
        <v>58</v>
      </c>
      <c r="E444" s="24">
        <v>79</v>
      </c>
      <c r="F444" s="24">
        <v>158</v>
      </c>
      <c r="G444" s="25">
        <v>31580.25</v>
      </c>
      <c r="H444" s="25">
        <v>3947.53</v>
      </c>
      <c r="I444" s="25">
        <v>22264.080000000002</v>
      </c>
      <c r="J444" s="26">
        <v>27402.38</v>
      </c>
    </row>
    <row r="445" spans="1:10" ht="21" customHeight="1">
      <c r="A445" s="27">
        <v>45839</v>
      </c>
      <c r="B445" s="28" t="s">
        <v>37</v>
      </c>
      <c r="C445" s="28" t="s">
        <v>35</v>
      </c>
      <c r="D445" s="28" t="s">
        <v>57</v>
      </c>
      <c r="E445" s="29">
        <v>71</v>
      </c>
      <c r="F445" s="29">
        <v>213</v>
      </c>
      <c r="G445" s="30">
        <v>31002.15</v>
      </c>
      <c r="H445" s="30">
        <v>1085.08</v>
      </c>
      <c r="I445" s="30">
        <v>18911.310000000001</v>
      </c>
      <c r="J445" s="31">
        <v>25323.14</v>
      </c>
    </row>
    <row r="446" spans="1:10" ht="21" customHeight="1">
      <c r="A446" s="22">
        <v>45839</v>
      </c>
      <c r="B446" s="23" t="s">
        <v>37</v>
      </c>
      <c r="C446" s="23" t="s">
        <v>35</v>
      </c>
      <c r="D446" s="23" t="s">
        <v>58</v>
      </c>
      <c r="E446" s="24">
        <v>82</v>
      </c>
      <c r="F446" s="24">
        <v>246</v>
      </c>
      <c r="G446" s="25">
        <v>35805.300000000003</v>
      </c>
      <c r="H446" s="25">
        <v>2506.37</v>
      </c>
      <c r="I446" s="25">
        <v>21841.23</v>
      </c>
      <c r="J446" s="26">
        <v>36171.230000000003</v>
      </c>
    </row>
    <row r="447" spans="1:10" ht="21" customHeight="1">
      <c r="A447" s="27">
        <v>45839</v>
      </c>
      <c r="B447" s="28" t="s">
        <v>38</v>
      </c>
      <c r="C447" s="28" t="s">
        <v>33</v>
      </c>
      <c r="D447" s="28" t="s">
        <v>57</v>
      </c>
      <c r="E447" s="29">
        <v>62</v>
      </c>
      <c r="F447" s="29">
        <v>310</v>
      </c>
      <c r="G447" s="30">
        <v>12074.5</v>
      </c>
      <c r="H447" s="30">
        <v>422.61</v>
      </c>
      <c r="I447" s="30">
        <v>6399.49</v>
      </c>
      <c r="J447" s="31">
        <v>11697.73</v>
      </c>
    </row>
    <row r="448" spans="1:10" ht="21" customHeight="1">
      <c r="A448" s="22">
        <v>45839</v>
      </c>
      <c r="B448" s="23" t="s">
        <v>38</v>
      </c>
      <c r="C448" s="23" t="s">
        <v>33</v>
      </c>
      <c r="D448" s="23" t="s">
        <v>58</v>
      </c>
      <c r="E448" s="24">
        <v>84</v>
      </c>
      <c r="F448" s="24">
        <v>420</v>
      </c>
      <c r="G448" s="25">
        <v>16359</v>
      </c>
      <c r="H448" s="25">
        <v>1145.1300000000001</v>
      </c>
      <c r="I448" s="25">
        <v>8670.27</v>
      </c>
      <c r="J448" s="26">
        <v>13022.79</v>
      </c>
    </row>
    <row r="449" spans="1:10" ht="21" customHeight="1">
      <c r="A449" s="27">
        <v>45839</v>
      </c>
      <c r="B449" s="28" t="s">
        <v>38</v>
      </c>
      <c r="C449" s="28" t="s">
        <v>34</v>
      </c>
      <c r="D449" s="28" t="s">
        <v>57</v>
      </c>
      <c r="E449" s="29">
        <v>67</v>
      </c>
      <c r="F449" s="29">
        <v>134</v>
      </c>
      <c r="G449" s="30">
        <v>26783.25</v>
      </c>
      <c r="H449" s="30">
        <v>2410.4899999999998</v>
      </c>
      <c r="I449" s="30">
        <v>18882.189999999999</v>
      </c>
      <c r="J449" s="31">
        <v>21861.84</v>
      </c>
    </row>
    <row r="450" spans="1:10" ht="21" customHeight="1">
      <c r="A450" s="22">
        <v>45839</v>
      </c>
      <c r="B450" s="23" t="s">
        <v>38</v>
      </c>
      <c r="C450" s="23" t="s">
        <v>34</v>
      </c>
      <c r="D450" s="23" t="s">
        <v>58</v>
      </c>
      <c r="E450" s="24">
        <v>82</v>
      </c>
      <c r="F450" s="24">
        <v>164</v>
      </c>
      <c r="G450" s="25">
        <v>32779.5</v>
      </c>
      <c r="H450" s="25">
        <v>4097.4399999999996</v>
      </c>
      <c r="I450" s="25">
        <v>23109.55</v>
      </c>
      <c r="J450" s="26">
        <v>30405.38</v>
      </c>
    </row>
    <row r="451" spans="1:10" ht="21" customHeight="1">
      <c r="A451" s="27">
        <v>45839</v>
      </c>
      <c r="B451" s="28" t="s">
        <v>38</v>
      </c>
      <c r="C451" s="28" t="s">
        <v>35</v>
      </c>
      <c r="D451" s="28" t="s">
        <v>57</v>
      </c>
      <c r="E451" s="29">
        <v>76</v>
      </c>
      <c r="F451" s="29">
        <v>228</v>
      </c>
      <c r="G451" s="30">
        <v>33185.4</v>
      </c>
      <c r="H451" s="30">
        <v>1161.49</v>
      </c>
      <c r="I451" s="30">
        <v>20243.09</v>
      </c>
      <c r="J451" s="31">
        <v>28940.74</v>
      </c>
    </row>
    <row r="452" spans="1:10" ht="21" customHeight="1">
      <c r="A452" s="22">
        <v>45839</v>
      </c>
      <c r="B452" s="23" t="s">
        <v>38</v>
      </c>
      <c r="C452" s="23" t="s">
        <v>35</v>
      </c>
      <c r="D452" s="23" t="s">
        <v>58</v>
      </c>
      <c r="E452" s="24">
        <v>91</v>
      </c>
      <c r="F452" s="24">
        <v>273</v>
      </c>
      <c r="G452" s="25">
        <v>39735.15</v>
      </c>
      <c r="H452" s="25">
        <v>2781.46</v>
      </c>
      <c r="I452" s="25">
        <v>24238.44</v>
      </c>
      <c r="J452" s="26">
        <v>39221.82</v>
      </c>
    </row>
    <row r="453" spans="1:10" ht="21" customHeight="1">
      <c r="A453" s="27">
        <v>45839</v>
      </c>
      <c r="B453" s="28" t="s">
        <v>39</v>
      </c>
      <c r="C453" s="28" t="s">
        <v>33</v>
      </c>
      <c r="D453" s="28" t="s">
        <v>57</v>
      </c>
      <c r="E453" s="29">
        <v>67</v>
      </c>
      <c r="F453" s="29">
        <v>335</v>
      </c>
      <c r="G453" s="30">
        <v>13048.25</v>
      </c>
      <c r="H453" s="30">
        <v>456.69</v>
      </c>
      <c r="I453" s="30">
        <v>6915.57</v>
      </c>
      <c r="J453" s="31">
        <v>11697.73</v>
      </c>
    </row>
    <row r="454" spans="1:10" ht="21" customHeight="1">
      <c r="A454" s="22">
        <v>45839</v>
      </c>
      <c r="B454" s="23" t="s">
        <v>39</v>
      </c>
      <c r="C454" s="23" t="s">
        <v>33</v>
      </c>
      <c r="D454" s="23" t="s">
        <v>58</v>
      </c>
      <c r="E454" s="24">
        <v>94</v>
      </c>
      <c r="F454" s="24">
        <v>470</v>
      </c>
      <c r="G454" s="25">
        <v>18306.5</v>
      </c>
      <c r="H454" s="25">
        <v>1281.46</v>
      </c>
      <c r="I454" s="25">
        <v>9702.4500000000007</v>
      </c>
      <c r="J454" s="26">
        <v>15743.97</v>
      </c>
    </row>
    <row r="455" spans="1:10" ht="21" customHeight="1">
      <c r="A455" s="27">
        <v>45839</v>
      </c>
      <c r="B455" s="28" t="s">
        <v>39</v>
      </c>
      <c r="C455" s="28" t="s">
        <v>34</v>
      </c>
      <c r="D455" s="28" t="s">
        <v>57</v>
      </c>
      <c r="E455" s="29">
        <v>78</v>
      </c>
      <c r="F455" s="29">
        <v>156</v>
      </c>
      <c r="G455" s="30">
        <v>31180.5</v>
      </c>
      <c r="H455" s="30">
        <v>2806.25</v>
      </c>
      <c r="I455" s="30">
        <v>21982.25</v>
      </c>
      <c r="J455" s="31">
        <v>24984.959999999999</v>
      </c>
    </row>
    <row r="456" spans="1:10" ht="21" customHeight="1">
      <c r="A456" s="22">
        <v>45839</v>
      </c>
      <c r="B456" s="23" t="s">
        <v>39</v>
      </c>
      <c r="C456" s="23" t="s">
        <v>34</v>
      </c>
      <c r="D456" s="23" t="s">
        <v>58</v>
      </c>
      <c r="E456" s="24">
        <v>91</v>
      </c>
      <c r="F456" s="24">
        <v>182</v>
      </c>
      <c r="G456" s="25">
        <v>36377.25</v>
      </c>
      <c r="H456" s="25">
        <v>4547.16</v>
      </c>
      <c r="I456" s="25">
        <v>25645.96</v>
      </c>
      <c r="J456" s="26">
        <v>30405.38</v>
      </c>
    </row>
    <row r="457" spans="1:10" ht="21" customHeight="1">
      <c r="A457" s="27">
        <v>45839</v>
      </c>
      <c r="B457" s="28" t="s">
        <v>39</v>
      </c>
      <c r="C457" s="28" t="s">
        <v>35</v>
      </c>
      <c r="D457" s="28" t="s">
        <v>57</v>
      </c>
      <c r="E457" s="29">
        <v>81</v>
      </c>
      <c r="F457" s="29">
        <v>243</v>
      </c>
      <c r="G457" s="30">
        <v>35368.65</v>
      </c>
      <c r="H457" s="30">
        <v>1237.9000000000001</v>
      </c>
      <c r="I457" s="30">
        <v>21574.880000000001</v>
      </c>
      <c r="J457" s="31">
        <v>32106.13</v>
      </c>
    </row>
    <row r="458" spans="1:10" ht="21" customHeight="1">
      <c r="A458" s="22">
        <v>45839</v>
      </c>
      <c r="B458" s="23" t="s">
        <v>39</v>
      </c>
      <c r="C458" s="23" t="s">
        <v>35</v>
      </c>
      <c r="D458" s="23" t="s">
        <v>58</v>
      </c>
      <c r="E458" s="24">
        <v>110</v>
      </c>
      <c r="F458" s="24">
        <v>330</v>
      </c>
      <c r="G458" s="25">
        <v>48031.5</v>
      </c>
      <c r="H458" s="25">
        <v>3362.21</v>
      </c>
      <c r="I458" s="25">
        <v>29299.22</v>
      </c>
      <c r="J458" s="26">
        <v>43144</v>
      </c>
    </row>
    <row r="459" spans="1:10" ht="21" customHeight="1">
      <c r="A459" s="27">
        <v>45839</v>
      </c>
      <c r="B459" s="28" t="s">
        <v>40</v>
      </c>
      <c r="C459" s="28" t="s">
        <v>33</v>
      </c>
      <c r="D459" s="28" t="s">
        <v>57</v>
      </c>
      <c r="E459" s="29">
        <v>82</v>
      </c>
      <c r="F459" s="29">
        <v>410</v>
      </c>
      <c r="G459" s="30">
        <v>15969.5</v>
      </c>
      <c r="H459" s="30">
        <v>558.92999999999995</v>
      </c>
      <c r="I459" s="30">
        <v>8463.84</v>
      </c>
      <c r="J459" s="31">
        <v>15126.38</v>
      </c>
    </row>
    <row r="460" spans="1:10" ht="21" customHeight="1">
      <c r="A460" s="22">
        <v>45839</v>
      </c>
      <c r="B460" s="23" t="s">
        <v>40</v>
      </c>
      <c r="C460" s="23" t="s">
        <v>33</v>
      </c>
      <c r="D460" s="23" t="s">
        <v>58</v>
      </c>
      <c r="E460" s="24">
        <v>100</v>
      </c>
      <c r="F460" s="24">
        <v>500</v>
      </c>
      <c r="G460" s="25">
        <v>19475</v>
      </c>
      <c r="H460" s="25">
        <v>1363.25</v>
      </c>
      <c r="I460" s="25">
        <v>10321.75</v>
      </c>
      <c r="J460" s="26">
        <v>20320.5</v>
      </c>
    </row>
    <row r="461" spans="1:10" ht="21" customHeight="1">
      <c r="A461" s="27">
        <v>45839</v>
      </c>
      <c r="B461" s="28" t="s">
        <v>40</v>
      </c>
      <c r="C461" s="28" t="s">
        <v>34</v>
      </c>
      <c r="D461" s="28" t="s">
        <v>57</v>
      </c>
      <c r="E461" s="29">
        <v>84</v>
      </c>
      <c r="F461" s="29">
        <v>168</v>
      </c>
      <c r="G461" s="30">
        <v>33579</v>
      </c>
      <c r="H461" s="30">
        <v>4533.17</v>
      </c>
      <c r="I461" s="30">
        <v>23673.200000000001</v>
      </c>
      <c r="J461" s="31">
        <v>33271.879999999997</v>
      </c>
    </row>
    <row r="462" spans="1:10" ht="21" customHeight="1">
      <c r="A462" s="22">
        <v>45839</v>
      </c>
      <c r="B462" s="23" t="s">
        <v>40</v>
      </c>
      <c r="C462" s="23" t="s">
        <v>34</v>
      </c>
      <c r="D462" s="23" t="s">
        <v>58</v>
      </c>
      <c r="E462" s="24">
        <v>106</v>
      </c>
      <c r="F462" s="24">
        <v>212</v>
      </c>
      <c r="G462" s="25">
        <v>42373.5</v>
      </c>
      <c r="H462" s="25">
        <v>7203.49</v>
      </c>
      <c r="I462" s="25">
        <v>29873.32</v>
      </c>
      <c r="J462" s="26">
        <v>40950</v>
      </c>
    </row>
    <row r="463" spans="1:10" ht="21" customHeight="1">
      <c r="A463" s="27">
        <v>45839</v>
      </c>
      <c r="B463" s="28" t="s">
        <v>40</v>
      </c>
      <c r="C463" s="28" t="s">
        <v>35</v>
      </c>
      <c r="D463" s="28" t="s">
        <v>57</v>
      </c>
      <c r="E463" s="29">
        <v>88</v>
      </c>
      <c r="F463" s="29">
        <v>264</v>
      </c>
      <c r="G463" s="30">
        <v>38425.199999999997</v>
      </c>
      <c r="H463" s="30">
        <v>1344.88</v>
      </c>
      <c r="I463" s="30">
        <v>23439.37</v>
      </c>
      <c r="J463" s="31">
        <v>44192.18</v>
      </c>
    </row>
    <row r="464" spans="1:10" ht="21" customHeight="1">
      <c r="A464" s="22">
        <v>45839</v>
      </c>
      <c r="B464" s="23" t="s">
        <v>40</v>
      </c>
      <c r="C464" s="23" t="s">
        <v>35</v>
      </c>
      <c r="D464" s="23" t="s">
        <v>58</v>
      </c>
      <c r="E464" s="24">
        <v>105</v>
      </c>
      <c r="F464" s="24">
        <v>315</v>
      </c>
      <c r="G464" s="25">
        <v>45848.25</v>
      </c>
      <c r="H464" s="25">
        <v>3209.38</v>
      </c>
      <c r="I464" s="25">
        <v>27967.43</v>
      </c>
      <c r="J464" s="26">
        <v>46055.93</v>
      </c>
    </row>
    <row r="465" spans="1:10" ht="21" customHeight="1">
      <c r="A465" s="27">
        <v>45870</v>
      </c>
      <c r="B465" s="28" t="s">
        <v>37</v>
      </c>
      <c r="C465" s="28" t="s">
        <v>33</v>
      </c>
      <c r="D465" s="28" t="s">
        <v>57</v>
      </c>
      <c r="E465" s="29">
        <v>55</v>
      </c>
      <c r="F465" s="29">
        <v>275</v>
      </c>
      <c r="G465" s="30">
        <v>10711.25</v>
      </c>
      <c r="H465" s="30">
        <v>374.89</v>
      </c>
      <c r="I465" s="30">
        <v>5676.96</v>
      </c>
      <c r="J465" s="31">
        <v>9479.2000000000007</v>
      </c>
    </row>
    <row r="466" spans="1:10" ht="21" customHeight="1">
      <c r="A466" s="22">
        <v>45870</v>
      </c>
      <c r="B466" s="23" t="s">
        <v>37</v>
      </c>
      <c r="C466" s="23" t="s">
        <v>33</v>
      </c>
      <c r="D466" s="23" t="s">
        <v>58</v>
      </c>
      <c r="E466" s="24">
        <v>72</v>
      </c>
      <c r="F466" s="24">
        <v>360</v>
      </c>
      <c r="G466" s="25">
        <v>14022</v>
      </c>
      <c r="H466" s="25">
        <v>981.54</v>
      </c>
      <c r="I466" s="25">
        <v>7431.66</v>
      </c>
      <c r="J466" s="26">
        <v>13022.79</v>
      </c>
    </row>
    <row r="467" spans="1:10" ht="21" customHeight="1">
      <c r="A467" s="27">
        <v>45870</v>
      </c>
      <c r="B467" s="28" t="s">
        <v>37</v>
      </c>
      <c r="C467" s="28" t="s">
        <v>34</v>
      </c>
      <c r="D467" s="28" t="s">
        <v>57</v>
      </c>
      <c r="E467" s="29">
        <v>60</v>
      </c>
      <c r="F467" s="29">
        <v>120</v>
      </c>
      <c r="G467" s="30">
        <v>23985</v>
      </c>
      <c r="H467" s="30">
        <v>2158.65</v>
      </c>
      <c r="I467" s="30">
        <v>16909.43</v>
      </c>
      <c r="J467" s="31">
        <v>23813.79</v>
      </c>
    </row>
    <row r="468" spans="1:10" ht="21" customHeight="1">
      <c r="A468" s="22">
        <v>45870</v>
      </c>
      <c r="B468" s="23" t="s">
        <v>37</v>
      </c>
      <c r="C468" s="23" t="s">
        <v>34</v>
      </c>
      <c r="D468" s="23" t="s">
        <v>58</v>
      </c>
      <c r="E468" s="24">
        <v>81</v>
      </c>
      <c r="F468" s="24">
        <v>162</v>
      </c>
      <c r="G468" s="25">
        <v>32379.75</v>
      </c>
      <c r="H468" s="25">
        <v>4047.47</v>
      </c>
      <c r="I468" s="25">
        <v>22827.72</v>
      </c>
      <c r="J468" s="26">
        <v>28528.5</v>
      </c>
    </row>
    <row r="469" spans="1:10" ht="21" customHeight="1">
      <c r="A469" s="27">
        <v>45870</v>
      </c>
      <c r="B469" s="28" t="s">
        <v>37</v>
      </c>
      <c r="C469" s="28" t="s">
        <v>35</v>
      </c>
      <c r="D469" s="28" t="s">
        <v>57</v>
      </c>
      <c r="E469" s="29">
        <v>71</v>
      </c>
      <c r="F469" s="29">
        <v>213</v>
      </c>
      <c r="G469" s="30">
        <v>31002.15</v>
      </c>
      <c r="H469" s="30">
        <v>1085.08</v>
      </c>
      <c r="I469" s="30">
        <v>18911.310000000001</v>
      </c>
      <c r="J469" s="31">
        <v>27131.94</v>
      </c>
    </row>
    <row r="470" spans="1:10" ht="21" customHeight="1">
      <c r="A470" s="22">
        <v>45870</v>
      </c>
      <c r="B470" s="23" t="s">
        <v>37</v>
      </c>
      <c r="C470" s="23" t="s">
        <v>35</v>
      </c>
      <c r="D470" s="23" t="s">
        <v>58</v>
      </c>
      <c r="E470" s="24">
        <v>89</v>
      </c>
      <c r="F470" s="24">
        <v>267</v>
      </c>
      <c r="G470" s="25">
        <v>38861.85</v>
      </c>
      <c r="H470" s="25">
        <v>2720.33</v>
      </c>
      <c r="I470" s="25">
        <v>23705.73</v>
      </c>
      <c r="J470" s="26">
        <v>38350.22</v>
      </c>
    </row>
    <row r="471" spans="1:10" ht="21" customHeight="1">
      <c r="A471" s="27">
        <v>45870</v>
      </c>
      <c r="B471" s="28" t="s">
        <v>38</v>
      </c>
      <c r="C471" s="28" t="s">
        <v>33</v>
      </c>
      <c r="D471" s="28" t="s">
        <v>57</v>
      </c>
      <c r="E471" s="29">
        <v>68</v>
      </c>
      <c r="F471" s="29">
        <v>340</v>
      </c>
      <c r="G471" s="30">
        <v>13243</v>
      </c>
      <c r="H471" s="30">
        <v>463.51</v>
      </c>
      <c r="I471" s="30">
        <v>7018.79</v>
      </c>
      <c r="J471" s="31">
        <v>11496.05</v>
      </c>
    </row>
    <row r="472" spans="1:10" ht="21" customHeight="1">
      <c r="A472" s="22">
        <v>45870</v>
      </c>
      <c r="B472" s="23" t="s">
        <v>38</v>
      </c>
      <c r="C472" s="23" t="s">
        <v>33</v>
      </c>
      <c r="D472" s="23" t="s">
        <v>58</v>
      </c>
      <c r="E472" s="24">
        <v>85</v>
      </c>
      <c r="F472" s="24">
        <v>425</v>
      </c>
      <c r="G472" s="25">
        <v>16553.75</v>
      </c>
      <c r="H472" s="25">
        <v>1158.76</v>
      </c>
      <c r="I472" s="25">
        <v>8773.49</v>
      </c>
      <c r="J472" s="26">
        <v>16132.71</v>
      </c>
    </row>
    <row r="473" spans="1:10" ht="21" customHeight="1">
      <c r="A473" s="27">
        <v>45870</v>
      </c>
      <c r="B473" s="28" t="s">
        <v>38</v>
      </c>
      <c r="C473" s="28" t="s">
        <v>34</v>
      </c>
      <c r="D473" s="28" t="s">
        <v>57</v>
      </c>
      <c r="E473" s="29">
        <v>73</v>
      </c>
      <c r="F473" s="29">
        <v>146</v>
      </c>
      <c r="G473" s="30">
        <v>29181.75</v>
      </c>
      <c r="H473" s="30">
        <v>2626.36</v>
      </c>
      <c r="I473" s="30">
        <v>20573.13</v>
      </c>
      <c r="J473" s="31">
        <v>24984.959999999999</v>
      </c>
    </row>
    <row r="474" spans="1:10" ht="21" customHeight="1">
      <c r="A474" s="22">
        <v>45870</v>
      </c>
      <c r="B474" s="23" t="s">
        <v>38</v>
      </c>
      <c r="C474" s="23" t="s">
        <v>34</v>
      </c>
      <c r="D474" s="23" t="s">
        <v>58</v>
      </c>
      <c r="E474" s="24">
        <v>95</v>
      </c>
      <c r="F474" s="24">
        <v>190</v>
      </c>
      <c r="G474" s="25">
        <v>37976.25</v>
      </c>
      <c r="H474" s="25">
        <v>4747.03</v>
      </c>
      <c r="I474" s="25">
        <v>26773.26</v>
      </c>
      <c r="J474" s="26">
        <v>30405.38</v>
      </c>
    </row>
    <row r="475" spans="1:10" ht="21" customHeight="1">
      <c r="A475" s="27">
        <v>45870</v>
      </c>
      <c r="B475" s="28" t="s">
        <v>38</v>
      </c>
      <c r="C475" s="28" t="s">
        <v>35</v>
      </c>
      <c r="D475" s="28" t="s">
        <v>57</v>
      </c>
      <c r="E475" s="29">
        <v>84</v>
      </c>
      <c r="F475" s="29">
        <v>252</v>
      </c>
      <c r="G475" s="30">
        <v>36678.6</v>
      </c>
      <c r="H475" s="30">
        <v>1283.75</v>
      </c>
      <c r="I475" s="30">
        <v>22373.95</v>
      </c>
      <c r="J475" s="31">
        <v>32558.33</v>
      </c>
    </row>
    <row r="476" spans="1:10" ht="21" customHeight="1">
      <c r="A476" s="22">
        <v>45870</v>
      </c>
      <c r="B476" s="23" t="s">
        <v>38</v>
      </c>
      <c r="C476" s="23" t="s">
        <v>35</v>
      </c>
      <c r="D476" s="23" t="s">
        <v>58</v>
      </c>
      <c r="E476" s="24">
        <v>94</v>
      </c>
      <c r="F476" s="24">
        <v>282</v>
      </c>
      <c r="G476" s="25">
        <v>41045.1</v>
      </c>
      <c r="H476" s="25">
        <v>2873.16</v>
      </c>
      <c r="I476" s="25">
        <v>25037.51</v>
      </c>
      <c r="J476" s="26">
        <v>42708.2</v>
      </c>
    </row>
    <row r="477" spans="1:10" ht="21" customHeight="1">
      <c r="A477" s="27">
        <v>45870</v>
      </c>
      <c r="B477" s="28" t="s">
        <v>39</v>
      </c>
      <c r="C477" s="28" t="s">
        <v>33</v>
      </c>
      <c r="D477" s="28" t="s">
        <v>57</v>
      </c>
      <c r="E477" s="29">
        <v>73</v>
      </c>
      <c r="F477" s="29">
        <v>365</v>
      </c>
      <c r="G477" s="30">
        <v>14216.75</v>
      </c>
      <c r="H477" s="30">
        <v>497.59</v>
      </c>
      <c r="I477" s="30">
        <v>7534.88</v>
      </c>
      <c r="J477" s="31">
        <v>13311.21</v>
      </c>
    </row>
    <row r="478" spans="1:10" ht="21" customHeight="1">
      <c r="A478" s="22">
        <v>45870</v>
      </c>
      <c r="B478" s="23" t="s">
        <v>39</v>
      </c>
      <c r="C478" s="23" t="s">
        <v>33</v>
      </c>
      <c r="D478" s="23" t="s">
        <v>58</v>
      </c>
      <c r="E478" s="24">
        <v>100</v>
      </c>
      <c r="F478" s="24">
        <v>500</v>
      </c>
      <c r="G478" s="25">
        <v>19475</v>
      </c>
      <c r="H478" s="25">
        <v>1363.25</v>
      </c>
      <c r="I478" s="25">
        <v>10321.75</v>
      </c>
      <c r="J478" s="26">
        <v>16715.82</v>
      </c>
    </row>
    <row r="479" spans="1:10" ht="21" customHeight="1">
      <c r="A479" s="27">
        <v>45870</v>
      </c>
      <c r="B479" s="28" t="s">
        <v>39</v>
      </c>
      <c r="C479" s="28" t="s">
        <v>34</v>
      </c>
      <c r="D479" s="28" t="s">
        <v>57</v>
      </c>
      <c r="E479" s="29">
        <v>76</v>
      </c>
      <c r="F479" s="29">
        <v>152</v>
      </c>
      <c r="G479" s="30">
        <v>30381</v>
      </c>
      <c r="H479" s="30">
        <v>2734.29</v>
      </c>
      <c r="I479" s="30">
        <v>21418.61</v>
      </c>
      <c r="J479" s="31">
        <v>27327.3</v>
      </c>
    </row>
    <row r="480" spans="1:10" ht="21" customHeight="1">
      <c r="A480" s="22">
        <v>45870</v>
      </c>
      <c r="B480" s="23" t="s">
        <v>39</v>
      </c>
      <c r="C480" s="23" t="s">
        <v>34</v>
      </c>
      <c r="D480" s="23" t="s">
        <v>58</v>
      </c>
      <c r="E480" s="24">
        <v>96</v>
      </c>
      <c r="F480" s="24">
        <v>192</v>
      </c>
      <c r="G480" s="25">
        <v>38376</v>
      </c>
      <c r="H480" s="25">
        <v>4797</v>
      </c>
      <c r="I480" s="25">
        <v>27055.08</v>
      </c>
      <c r="J480" s="26">
        <v>33408.379999999997</v>
      </c>
    </row>
    <row r="481" spans="1:10" ht="21" customHeight="1">
      <c r="A481" s="27">
        <v>45870</v>
      </c>
      <c r="B481" s="28" t="s">
        <v>39</v>
      </c>
      <c r="C481" s="28" t="s">
        <v>35</v>
      </c>
      <c r="D481" s="28" t="s">
        <v>57</v>
      </c>
      <c r="E481" s="29">
        <v>96</v>
      </c>
      <c r="F481" s="29">
        <v>288</v>
      </c>
      <c r="G481" s="30">
        <v>41918.400000000001</v>
      </c>
      <c r="H481" s="30">
        <v>1467.14</v>
      </c>
      <c r="I481" s="30">
        <v>25570.22</v>
      </c>
      <c r="J481" s="31">
        <v>35271.519999999997</v>
      </c>
    </row>
    <row r="482" spans="1:10" ht="21" customHeight="1">
      <c r="A482" s="22">
        <v>45870</v>
      </c>
      <c r="B482" s="23" t="s">
        <v>39</v>
      </c>
      <c r="C482" s="23" t="s">
        <v>35</v>
      </c>
      <c r="D482" s="23" t="s">
        <v>58</v>
      </c>
      <c r="E482" s="24">
        <v>102</v>
      </c>
      <c r="F482" s="24">
        <v>306</v>
      </c>
      <c r="G482" s="25">
        <v>44538.3</v>
      </c>
      <c r="H482" s="25">
        <v>3117.68</v>
      </c>
      <c r="I482" s="25">
        <v>27168.36</v>
      </c>
      <c r="J482" s="26">
        <v>42272.41</v>
      </c>
    </row>
    <row r="483" spans="1:10" ht="21" customHeight="1">
      <c r="A483" s="27">
        <v>45870</v>
      </c>
      <c r="B483" s="28" t="s">
        <v>40</v>
      </c>
      <c r="C483" s="28" t="s">
        <v>33</v>
      </c>
      <c r="D483" s="28" t="s">
        <v>57</v>
      </c>
      <c r="E483" s="29">
        <v>80</v>
      </c>
      <c r="F483" s="29">
        <v>400</v>
      </c>
      <c r="G483" s="30">
        <v>15580</v>
      </c>
      <c r="H483" s="30">
        <v>545.29999999999995</v>
      </c>
      <c r="I483" s="30">
        <v>8257.4</v>
      </c>
      <c r="J483" s="31">
        <v>16272.31</v>
      </c>
    </row>
    <row r="484" spans="1:10" ht="21" customHeight="1">
      <c r="A484" s="22">
        <v>45870</v>
      </c>
      <c r="B484" s="23" t="s">
        <v>40</v>
      </c>
      <c r="C484" s="23" t="s">
        <v>33</v>
      </c>
      <c r="D484" s="23" t="s">
        <v>58</v>
      </c>
      <c r="E484" s="24">
        <v>108</v>
      </c>
      <c r="F484" s="24">
        <v>540</v>
      </c>
      <c r="G484" s="25">
        <v>21033</v>
      </c>
      <c r="H484" s="25">
        <v>1472.31</v>
      </c>
      <c r="I484" s="25">
        <v>11147.49</v>
      </c>
      <c r="J484" s="26">
        <v>20762.25</v>
      </c>
    </row>
    <row r="485" spans="1:10" ht="21" customHeight="1">
      <c r="A485" s="27">
        <v>45870</v>
      </c>
      <c r="B485" s="28" t="s">
        <v>40</v>
      </c>
      <c r="C485" s="28" t="s">
        <v>34</v>
      </c>
      <c r="D485" s="28" t="s">
        <v>57</v>
      </c>
      <c r="E485" s="29">
        <v>85</v>
      </c>
      <c r="F485" s="29">
        <v>170</v>
      </c>
      <c r="G485" s="30">
        <v>33978.75</v>
      </c>
      <c r="H485" s="30">
        <v>4587.13</v>
      </c>
      <c r="I485" s="30">
        <v>23955.02</v>
      </c>
      <c r="J485" s="31">
        <v>35490</v>
      </c>
    </row>
    <row r="486" spans="1:10" ht="21" customHeight="1">
      <c r="A486" s="22">
        <v>45870</v>
      </c>
      <c r="B486" s="23" t="s">
        <v>40</v>
      </c>
      <c r="C486" s="23" t="s">
        <v>34</v>
      </c>
      <c r="D486" s="23" t="s">
        <v>58</v>
      </c>
      <c r="E486" s="24">
        <v>119</v>
      </c>
      <c r="F486" s="24">
        <v>238</v>
      </c>
      <c r="G486" s="25">
        <v>47570.25</v>
      </c>
      <c r="H486" s="25">
        <v>8086.94</v>
      </c>
      <c r="I486" s="25">
        <v>33537.03</v>
      </c>
      <c r="J486" s="26">
        <v>43082.81</v>
      </c>
    </row>
    <row r="487" spans="1:10" ht="21" customHeight="1">
      <c r="A487" s="27">
        <v>45870</v>
      </c>
      <c r="B487" s="28" t="s">
        <v>40</v>
      </c>
      <c r="C487" s="28" t="s">
        <v>35</v>
      </c>
      <c r="D487" s="28" t="s">
        <v>57</v>
      </c>
      <c r="E487" s="29">
        <v>99</v>
      </c>
      <c r="F487" s="29">
        <v>297</v>
      </c>
      <c r="G487" s="30">
        <v>43228.35</v>
      </c>
      <c r="H487" s="30">
        <v>1512.99</v>
      </c>
      <c r="I487" s="30">
        <v>26369.29</v>
      </c>
      <c r="J487" s="31">
        <v>48303.08</v>
      </c>
    </row>
    <row r="488" spans="1:10" ht="21" customHeight="1">
      <c r="A488" s="22">
        <v>45870</v>
      </c>
      <c r="B488" s="23" t="s">
        <v>40</v>
      </c>
      <c r="C488" s="23" t="s">
        <v>35</v>
      </c>
      <c r="D488" s="23" t="s">
        <v>58</v>
      </c>
      <c r="E488" s="24">
        <v>120</v>
      </c>
      <c r="F488" s="24">
        <v>360</v>
      </c>
      <c r="G488" s="25">
        <v>52398</v>
      </c>
      <c r="H488" s="25">
        <v>3667.86</v>
      </c>
      <c r="I488" s="25">
        <v>31962.78</v>
      </c>
      <c r="J488" s="26">
        <v>51998.63</v>
      </c>
    </row>
    <row r="489" spans="1:10" ht="21" customHeight="1">
      <c r="A489" s="27">
        <v>45901</v>
      </c>
      <c r="B489" s="28" t="s">
        <v>37</v>
      </c>
      <c r="C489" s="28" t="s">
        <v>33</v>
      </c>
      <c r="D489" s="28" t="s">
        <v>57</v>
      </c>
      <c r="E489" s="29">
        <v>65</v>
      </c>
      <c r="F489" s="29">
        <v>325</v>
      </c>
      <c r="G489" s="30">
        <v>12658.75</v>
      </c>
      <c r="H489" s="30">
        <v>443.06</v>
      </c>
      <c r="I489" s="30">
        <v>6709.14</v>
      </c>
      <c r="J489" s="31">
        <v>10890.99</v>
      </c>
    </row>
    <row r="490" spans="1:10" ht="21" customHeight="1">
      <c r="A490" s="22">
        <v>45901</v>
      </c>
      <c r="B490" s="23" t="s">
        <v>37</v>
      </c>
      <c r="C490" s="23" t="s">
        <v>33</v>
      </c>
      <c r="D490" s="23" t="s">
        <v>58</v>
      </c>
      <c r="E490" s="24">
        <v>84</v>
      </c>
      <c r="F490" s="24">
        <v>420</v>
      </c>
      <c r="G490" s="25">
        <v>16359</v>
      </c>
      <c r="H490" s="25">
        <v>1145.1300000000001</v>
      </c>
      <c r="I490" s="25">
        <v>8670.27</v>
      </c>
      <c r="J490" s="26">
        <v>15355.23</v>
      </c>
    </row>
    <row r="491" spans="1:10" ht="21" customHeight="1">
      <c r="A491" s="27">
        <v>45901</v>
      </c>
      <c r="B491" s="28" t="s">
        <v>37</v>
      </c>
      <c r="C491" s="28" t="s">
        <v>34</v>
      </c>
      <c r="D491" s="28" t="s">
        <v>57</v>
      </c>
      <c r="E491" s="29">
        <v>68</v>
      </c>
      <c r="F491" s="29">
        <v>136</v>
      </c>
      <c r="G491" s="30">
        <v>27183</v>
      </c>
      <c r="H491" s="30">
        <v>2446.4699999999998</v>
      </c>
      <c r="I491" s="30">
        <v>19164.02</v>
      </c>
      <c r="J491" s="31">
        <v>23033.01</v>
      </c>
    </row>
    <row r="492" spans="1:10" ht="21" customHeight="1">
      <c r="A492" s="22">
        <v>45901</v>
      </c>
      <c r="B492" s="23" t="s">
        <v>37</v>
      </c>
      <c r="C492" s="23" t="s">
        <v>34</v>
      </c>
      <c r="D492" s="23" t="s">
        <v>58</v>
      </c>
      <c r="E492" s="24">
        <v>91</v>
      </c>
      <c r="F492" s="24">
        <v>182</v>
      </c>
      <c r="G492" s="25">
        <v>36377.25</v>
      </c>
      <c r="H492" s="25">
        <v>4547.16</v>
      </c>
      <c r="I492" s="25">
        <v>25645.96</v>
      </c>
      <c r="J492" s="26">
        <v>32657.63</v>
      </c>
    </row>
    <row r="493" spans="1:10" ht="21" customHeight="1">
      <c r="A493" s="27">
        <v>45901</v>
      </c>
      <c r="B493" s="28" t="s">
        <v>37</v>
      </c>
      <c r="C493" s="28" t="s">
        <v>35</v>
      </c>
      <c r="D493" s="28" t="s">
        <v>57</v>
      </c>
      <c r="E493" s="29">
        <v>82</v>
      </c>
      <c r="F493" s="29">
        <v>246</v>
      </c>
      <c r="G493" s="30">
        <v>35805.300000000003</v>
      </c>
      <c r="H493" s="30">
        <v>1253.19</v>
      </c>
      <c r="I493" s="30">
        <v>21841.23</v>
      </c>
      <c r="J493" s="31">
        <v>33914.93</v>
      </c>
    </row>
    <row r="494" spans="1:10" ht="21" customHeight="1">
      <c r="A494" s="22">
        <v>45901</v>
      </c>
      <c r="B494" s="23" t="s">
        <v>37</v>
      </c>
      <c r="C494" s="23" t="s">
        <v>35</v>
      </c>
      <c r="D494" s="23" t="s">
        <v>58</v>
      </c>
      <c r="E494" s="24">
        <v>101</v>
      </c>
      <c r="F494" s="24">
        <v>303</v>
      </c>
      <c r="G494" s="25">
        <v>44101.65</v>
      </c>
      <c r="H494" s="25">
        <v>3087.12</v>
      </c>
      <c r="I494" s="25">
        <v>26902.01</v>
      </c>
      <c r="J494" s="26">
        <v>39657.620000000003</v>
      </c>
    </row>
    <row r="495" spans="1:10" ht="21" customHeight="1">
      <c r="A495" s="27">
        <v>45901</v>
      </c>
      <c r="B495" s="28" t="s">
        <v>38</v>
      </c>
      <c r="C495" s="28" t="s">
        <v>33</v>
      </c>
      <c r="D495" s="28" t="s">
        <v>57</v>
      </c>
      <c r="E495" s="29">
        <v>69</v>
      </c>
      <c r="F495" s="29">
        <v>345</v>
      </c>
      <c r="G495" s="30">
        <v>13437.75</v>
      </c>
      <c r="H495" s="30">
        <v>470.32</v>
      </c>
      <c r="I495" s="30">
        <v>7122.01</v>
      </c>
      <c r="J495" s="31">
        <v>12504.47</v>
      </c>
    </row>
    <row r="496" spans="1:10" ht="21" customHeight="1">
      <c r="A496" s="22">
        <v>45901</v>
      </c>
      <c r="B496" s="23" t="s">
        <v>38</v>
      </c>
      <c r="C496" s="23" t="s">
        <v>33</v>
      </c>
      <c r="D496" s="23" t="s">
        <v>58</v>
      </c>
      <c r="E496" s="24">
        <v>92</v>
      </c>
      <c r="F496" s="24">
        <v>460</v>
      </c>
      <c r="G496" s="25">
        <v>17917</v>
      </c>
      <c r="H496" s="25">
        <v>1254.19</v>
      </c>
      <c r="I496" s="25">
        <v>9496.01</v>
      </c>
      <c r="J496" s="26">
        <v>17298.93</v>
      </c>
    </row>
    <row r="497" spans="1:10" ht="21" customHeight="1">
      <c r="A497" s="27">
        <v>45901</v>
      </c>
      <c r="B497" s="28" t="s">
        <v>38</v>
      </c>
      <c r="C497" s="28" t="s">
        <v>34</v>
      </c>
      <c r="D497" s="28" t="s">
        <v>57</v>
      </c>
      <c r="E497" s="29">
        <v>81</v>
      </c>
      <c r="F497" s="29">
        <v>162</v>
      </c>
      <c r="G497" s="30">
        <v>32379.75</v>
      </c>
      <c r="H497" s="30">
        <v>2914.18</v>
      </c>
      <c r="I497" s="30">
        <v>22827.72</v>
      </c>
      <c r="J497" s="31">
        <v>26546.52</v>
      </c>
    </row>
    <row r="498" spans="1:10" ht="21" customHeight="1">
      <c r="A498" s="22">
        <v>45901</v>
      </c>
      <c r="B498" s="23" t="s">
        <v>38</v>
      </c>
      <c r="C498" s="23" t="s">
        <v>34</v>
      </c>
      <c r="D498" s="23" t="s">
        <v>58</v>
      </c>
      <c r="E498" s="24">
        <v>99</v>
      </c>
      <c r="F498" s="24">
        <v>198</v>
      </c>
      <c r="G498" s="25">
        <v>39575.25</v>
      </c>
      <c r="H498" s="25">
        <v>4946.91</v>
      </c>
      <c r="I498" s="25">
        <v>27900.55</v>
      </c>
      <c r="J498" s="26">
        <v>33033</v>
      </c>
    </row>
    <row r="499" spans="1:10" ht="21" customHeight="1">
      <c r="A499" s="27">
        <v>45901</v>
      </c>
      <c r="B499" s="28" t="s">
        <v>38</v>
      </c>
      <c r="C499" s="28" t="s">
        <v>35</v>
      </c>
      <c r="D499" s="28" t="s">
        <v>57</v>
      </c>
      <c r="E499" s="29">
        <v>84</v>
      </c>
      <c r="F499" s="29">
        <v>252</v>
      </c>
      <c r="G499" s="30">
        <v>36678.6</v>
      </c>
      <c r="H499" s="30">
        <v>1283.75</v>
      </c>
      <c r="I499" s="30">
        <v>22373.95</v>
      </c>
      <c r="J499" s="31">
        <v>35723.72</v>
      </c>
    </row>
    <row r="500" spans="1:10" ht="21" customHeight="1">
      <c r="A500" s="22">
        <v>45901</v>
      </c>
      <c r="B500" s="23" t="s">
        <v>38</v>
      </c>
      <c r="C500" s="23" t="s">
        <v>35</v>
      </c>
      <c r="D500" s="23" t="s">
        <v>58</v>
      </c>
      <c r="E500" s="24">
        <v>104</v>
      </c>
      <c r="F500" s="24">
        <v>312</v>
      </c>
      <c r="G500" s="25">
        <v>45411.6</v>
      </c>
      <c r="H500" s="25">
        <v>3178.81</v>
      </c>
      <c r="I500" s="25">
        <v>27701.08</v>
      </c>
      <c r="J500" s="26">
        <v>40093.42</v>
      </c>
    </row>
    <row r="501" spans="1:10" ht="21" customHeight="1">
      <c r="A501" s="27">
        <v>45901</v>
      </c>
      <c r="B501" s="28" t="s">
        <v>39</v>
      </c>
      <c r="C501" s="28" t="s">
        <v>33</v>
      </c>
      <c r="D501" s="28" t="s">
        <v>57</v>
      </c>
      <c r="E501" s="29">
        <v>84</v>
      </c>
      <c r="F501" s="29">
        <v>420</v>
      </c>
      <c r="G501" s="30">
        <v>16359</v>
      </c>
      <c r="H501" s="30">
        <v>572.57000000000005</v>
      </c>
      <c r="I501" s="30">
        <v>8670.27</v>
      </c>
      <c r="J501" s="31">
        <v>14117.95</v>
      </c>
    </row>
    <row r="502" spans="1:10" ht="21" customHeight="1">
      <c r="A502" s="22">
        <v>45901</v>
      </c>
      <c r="B502" s="23" t="s">
        <v>39</v>
      </c>
      <c r="C502" s="23" t="s">
        <v>33</v>
      </c>
      <c r="D502" s="23" t="s">
        <v>58</v>
      </c>
      <c r="E502" s="24">
        <v>107</v>
      </c>
      <c r="F502" s="24">
        <v>535</v>
      </c>
      <c r="G502" s="25">
        <v>20838.25</v>
      </c>
      <c r="H502" s="25">
        <v>1458.68</v>
      </c>
      <c r="I502" s="25">
        <v>11044.27</v>
      </c>
      <c r="J502" s="26">
        <v>17687.669999999998</v>
      </c>
    </row>
    <row r="503" spans="1:10" ht="21" customHeight="1">
      <c r="A503" s="27">
        <v>45901</v>
      </c>
      <c r="B503" s="28" t="s">
        <v>39</v>
      </c>
      <c r="C503" s="28" t="s">
        <v>34</v>
      </c>
      <c r="D503" s="28" t="s">
        <v>57</v>
      </c>
      <c r="E503" s="29">
        <v>96</v>
      </c>
      <c r="F503" s="29">
        <v>192</v>
      </c>
      <c r="G503" s="30">
        <v>38376</v>
      </c>
      <c r="H503" s="30">
        <v>3453.84</v>
      </c>
      <c r="I503" s="30">
        <v>27055.08</v>
      </c>
      <c r="J503" s="31">
        <v>30840.81</v>
      </c>
    </row>
    <row r="504" spans="1:10" ht="21" customHeight="1">
      <c r="A504" s="22">
        <v>45901</v>
      </c>
      <c r="B504" s="23" t="s">
        <v>39</v>
      </c>
      <c r="C504" s="23" t="s">
        <v>34</v>
      </c>
      <c r="D504" s="23" t="s">
        <v>58</v>
      </c>
      <c r="E504" s="24">
        <v>120</v>
      </c>
      <c r="F504" s="24">
        <v>240</v>
      </c>
      <c r="G504" s="25">
        <v>47970</v>
      </c>
      <c r="H504" s="25">
        <v>5996.25</v>
      </c>
      <c r="I504" s="25">
        <v>33818.85</v>
      </c>
      <c r="J504" s="26">
        <v>36036</v>
      </c>
    </row>
    <row r="505" spans="1:10" ht="21" customHeight="1">
      <c r="A505" s="27">
        <v>45901</v>
      </c>
      <c r="B505" s="28" t="s">
        <v>39</v>
      </c>
      <c r="C505" s="28" t="s">
        <v>35</v>
      </c>
      <c r="D505" s="28" t="s">
        <v>57</v>
      </c>
      <c r="E505" s="29">
        <v>98</v>
      </c>
      <c r="F505" s="29">
        <v>294</v>
      </c>
      <c r="G505" s="30">
        <v>42791.7</v>
      </c>
      <c r="H505" s="30">
        <v>1497.71</v>
      </c>
      <c r="I505" s="30">
        <v>26102.94</v>
      </c>
      <c r="J505" s="31">
        <v>37984.720000000001</v>
      </c>
    </row>
    <row r="506" spans="1:10" ht="21" customHeight="1">
      <c r="A506" s="22">
        <v>45901</v>
      </c>
      <c r="B506" s="23" t="s">
        <v>39</v>
      </c>
      <c r="C506" s="23" t="s">
        <v>35</v>
      </c>
      <c r="D506" s="23" t="s">
        <v>58</v>
      </c>
      <c r="E506" s="24">
        <v>112</v>
      </c>
      <c r="F506" s="24">
        <v>336</v>
      </c>
      <c r="G506" s="25">
        <v>48904.800000000003</v>
      </c>
      <c r="H506" s="25">
        <v>3423.34</v>
      </c>
      <c r="I506" s="25">
        <v>29831.93</v>
      </c>
      <c r="J506" s="26">
        <v>43579.8</v>
      </c>
    </row>
    <row r="507" spans="1:10" ht="21" customHeight="1">
      <c r="A507" s="27">
        <v>45901</v>
      </c>
      <c r="B507" s="28" t="s">
        <v>40</v>
      </c>
      <c r="C507" s="28" t="s">
        <v>33</v>
      </c>
      <c r="D507" s="28" t="s">
        <v>57</v>
      </c>
      <c r="E507" s="29">
        <v>96</v>
      </c>
      <c r="F507" s="29">
        <v>480</v>
      </c>
      <c r="G507" s="30">
        <v>18696</v>
      </c>
      <c r="H507" s="30">
        <v>654.36</v>
      </c>
      <c r="I507" s="30">
        <v>9908.8799999999992</v>
      </c>
      <c r="J507" s="31">
        <v>17876.63</v>
      </c>
    </row>
    <row r="508" spans="1:10" ht="21" customHeight="1">
      <c r="A508" s="22">
        <v>45901</v>
      </c>
      <c r="B508" s="23" t="s">
        <v>40</v>
      </c>
      <c r="C508" s="23" t="s">
        <v>33</v>
      </c>
      <c r="D508" s="23" t="s">
        <v>58</v>
      </c>
      <c r="E508" s="24">
        <v>105</v>
      </c>
      <c r="F508" s="24">
        <v>525</v>
      </c>
      <c r="G508" s="25">
        <v>20448.75</v>
      </c>
      <c r="H508" s="25">
        <v>1431.41</v>
      </c>
      <c r="I508" s="25">
        <v>10837.84</v>
      </c>
      <c r="J508" s="26">
        <v>22750.13</v>
      </c>
    </row>
    <row r="509" spans="1:10" ht="21" customHeight="1">
      <c r="A509" s="27">
        <v>45901</v>
      </c>
      <c r="B509" s="28" t="s">
        <v>40</v>
      </c>
      <c r="C509" s="28" t="s">
        <v>34</v>
      </c>
      <c r="D509" s="28" t="s">
        <v>57</v>
      </c>
      <c r="E509" s="29">
        <v>106</v>
      </c>
      <c r="F509" s="29">
        <v>212</v>
      </c>
      <c r="G509" s="30">
        <v>42373.5</v>
      </c>
      <c r="H509" s="30">
        <v>5720.42</v>
      </c>
      <c r="I509" s="30">
        <v>29873.32</v>
      </c>
      <c r="J509" s="31">
        <v>42588</v>
      </c>
    </row>
    <row r="510" spans="1:10" ht="21" customHeight="1">
      <c r="A510" s="22">
        <v>45901</v>
      </c>
      <c r="B510" s="23" t="s">
        <v>40</v>
      </c>
      <c r="C510" s="23" t="s">
        <v>34</v>
      </c>
      <c r="D510" s="23" t="s">
        <v>58</v>
      </c>
      <c r="E510" s="24">
        <v>116</v>
      </c>
      <c r="F510" s="24">
        <v>232</v>
      </c>
      <c r="G510" s="25">
        <v>46371</v>
      </c>
      <c r="H510" s="25">
        <v>7883.07</v>
      </c>
      <c r="I510" s="25">
        <v>32691.56</v>
      </c>
      <c r="J510" s="26">
        <v>46068.75</v>
      </c>
    </row>
    <row r="511" spans="1:10" ht="21" customHeight="1">
      <c r="A511" s="27">
        <v>45901</v>
      </c>
      <c r="B511" s="28" t="s">
        <v>40</v>
      </c>
      <c r="C511" s="28" t="s">
        <v>35</v>
      </c>
      <c r="D511" s="28" t="s">
        <v>57</v>
      </c>
      <c r="E511" s="29">
        <v>115</v>
      </c>
      <c r="F511" s="29">
        <v>345</v>
      </c>
      <c r="G511" s="30">
        <v>50214.75</v>
      </c>
      <c r="H511" s="30">
        <v>1757.52</v>
      </c>
      <c r="I511" s="30">
        <v>30631</v>
      </c>
      <c r="J511" s="31">
        <v>51386.25</v>
      </c>
    </row>
    <row r="512" spans="1:10" ht="21" customHeight="1">
      <c r="A512" s="22">
        <v>45901</v>
      </c>
      <c r="B512" s="23" t="s">
        <v>40</v>
      </c>
      <c r="C512" s="23" t="s">
        <v>35</v>
      </c>
      <c r="D512" s="23" t="s">
        <v>58</v>
      </c>
      <c r="E512" s="24">
        <v>128</v>
      </c>
      <c r="F512" s="24">
        <v>384</v>
      </c>
      <c r="G512" s="25">
        <v>55891.199999999997</v>
      </c>
      <c r="H512" s="25">
        <v>3912.38</v>
      </c>
      <c r="I512" s="25">
        <v>34093.629999999997</v>
      </c>
      <c r="J512" s="26">
        <v>61407.9</v>
      </c>
    </row>
    <row r="513" spans="1:10" ht="21" customHeight="1">
      <c r="A513" s="27">
        <v>45931</v>
      </c>
      <c r="B513" s="28" t="s">
        <v>37</v>
      </c>
      <c r="C513" s="28" t="s">
        <v>33</v>
      </c>
      <c r="D513" s="28" t="s">
        <v>57</v>
      </c>
      <c r="E513" s="29">
        <v>59</v>
      </c>
      <c r="F513" s="29">
        <v>295</v>
      </c>
      <c r="G513" s="30">
        <v>11490.25</v>
      </c>
      <c r="H513" s="30">
        <v>402.16</v>
      </c>
      <c r="I513" s="30">
        <v>6089.83</v>
      </c>
      <c r="J513" s="31">
        <v>10437.200000000001</v>
      </c>
    </row>
    <row r="514" spans="1:10" ht="21" customHeight="1">
      <c r="A514" s="22">
        <v>45931</v>
      </c>
      <c r="B514" s="23" t="s">
        <v>37</v>
      </c>
      <c r="C514" s="23" t="s">
        <v>33</v>
      </c>
      <c r="D514" s="23" t="s">
        <v>58</v>
      </c>
      <c r="E514" s="24">
        <v>86</v>
      </c>
      <c r="F514" s="24">
        <v>430</v>
      </c>
      <c r="G514" s="25">
        <v>16748.5</v>
      </c>
      <c r="H514" s="25">
        <v>1172.4000000000001</v>
      </c>
      <c r="I514" s="25">
        <v>8876.7099999999991</v>
      </c>
      <c r="J514" s="26">
        <v>14886.8</v>
      </c>
    </row>
    <row r="515" spans="1:10" ht="21" customHeight="1">
      <c r="A515" s="27">
        <v>45931</v>
      </c>
      <c r="B515" s="28" t="s">
        <v>37</v>
      </c>
      <c r="C515" s="28" t="s">
        <v>34</v>
      </c>
      <c r="D515" s="28" t="s">
        <v>57</v>
      </c>
      <c r="E515" s="29">
        <v>62</v>
      </c>
      <c r="F515" s="29">
        <v>124</v>
      </c>
      <c r="G515" s="30">
        <v>24784.5</v>
      </c>
      <c r="H515" s="30">
        <v>2230.61</v>
      </c>
      <c r="I515" s="30">
        <v>17473.07</v>
      </c>
      <c r="J515" s="31">
        <v>23839.17</v>
      </c>
    </row>
    <row r="516" spans="1:10" ht="21" customHeight="1">
      <c r="A516" s="22">
        <v>45931</v>
      </c>
      <c r="B516" s="23" t="s">
        <v>37</v>
      </c>
      <c r="C516" s="23" t="s">
        <v>34</v>
      </c>
      <c r="D516" s="23" t="s">
        <v>58</v>
      </c>
      <c r="E516" s="24">
        <v>86</v>
      </c>
      <c r="F516" s="24">
        <v>172</v>
      </c>
      <c r="G516" s="25">
        <v>34378.5</v>
      </c>
      <c r="H516" s="25">
        <v>4297.3100000000004</v>
      </c>
      <c r="I516" s="25">
        <v>24236.84</v>
      </c>
      <c r="J516" s="26">
        <v>32635.1</v>
      </c>
    </row>
    <row r="517" spans="1:10" ht="21" customHeight="1">
      <c r="A517" s="27">
        <v>45931</v>
      </c>
      <c r="B517" s="28" t="s">
        <v>37</v>
      </c>
      <c r="C517" s="28" t="s">
        <v>35</v>
      </c>
      <c r="D517" s="28" t="s">
        <v>57</v>
      </c>
      <c r="E517" s="29">
        <v>69</v>
      </c>
      <c r="F517" s="29">
        <v>207</v>
      </c>
      <c r="G517" s="30">
        <v>30128.85</v>
      </c>
      <c r="H517" s="30">
        <v>1054.51</v>
      </c>
      <c r="I517" s="30">
        <v>18378.599999999999</v>
      </c>
      <c r="J517" s="31">
        <v>31825.77</v>
      </c>
    </row>
    <row r="518" spans="1:10" ht="21" customHeight="1">
      <c r="A518" s="22">
        <v>45931</v>
      </c>
      <c r="B518" s="23" t="s">
        <v>37</v>
      </c>
      <c r="C518" s="23" t="s">
        <v>35</v>
      </c>
      <c r="D518" s="23" t="s">
        <v>58</v>
      </c>
      <c r="E518" s="24">
        <v>96</v>
      </c>
      <c r="F518" s="24">
        <v>288</v>
      </c>
      <c r="G518" s="25">
        <v>41918.400000000001</v>
      </c>
      <c r="H518" s="25">
        <v>2934.29</v>
      </c>
      <c r="I518" s="25">
        <v>25570.22</v>
      </c>
      <c r="J518" s="26">
        <v>40594.58</v>
      </c>
    </row>
    <row r="519" spans="1:10" ht="21" customHeight="1">
      <c r="A519" s="27">
        <v>45931</v>
      </c>
      <c r="B519" s="28" t="s">
        <v>38</v>
      </c>
      <c r="C519" s="28" t="s">
        <v>33</v>
      </c>
      <c r="D519" s="28" t="s">
        <v>57</v>
      </c>
      <c r="E519" s="29">
        <v>65</v>
      </c>
      <c r="F519" s="29">
        <v>325</v>
      </c>
      <c r="G519" s="30">
        <v>12658.75</v>
      </c>
      <c r="H519" s="30">
        <v>443.06</v>
      </c>
      <c r="I519" s="30">
        <v>6709.14</v>
      </c>
      <c r="J519" s="31">
        <v>12524.64</v>
      </c>
    </row>
    <row r="520" spans="1:10" ht="21" customHeight="1">
      <c r="A520" s="22">
        <v>45931</v>
      </c>
      <c r="B520" s="23" t="s">
        <v>38</v>
      </c>
      <c r="C520" s="23" t="s">
        <v>33</v>
      </c>
      <c r="D520" s="23" t="s">
        <v>58</v>
      </c>
      <c r="E520" s="24">
        <v>83</v>
      </c>
      <c r="F520" s="24">
        <v>415</v>
      </c>
      <c r="G520" s="25">
        <v>16164.25</v>
      </c>
      <c r="H520" s="25">
        <v>1131.5</v>
      </c>
      <c r="I520" s="25">
        <v>8567.0499999999993</v>
      </c>
      <c r="J520" s="26">
        <v>15892.66</v>
      </c>
    </row>
    <row r="521" spans="1:10" ht="21" customHeight="1">
      <c r="A521" s="27">
        <v>45931</v>
      </c>
      <c r="B521" s="28" t="s">
        <v>38</v>
      </c>
      <c r="C521" s="28" t="s">
        <v>34</v>
      </c>
      <c r="D521" s="28" t="s">
        <v>57</v>
      </c>
      <c r="E521" s="29">
        <v>80</v>
      </c>
      <c r="F521" s="29">
        <v>160</v>
      </c>
      <c r="G521" s="30">
        <v>31980</v>
      </c>
      <c r="H521" s="30">
        <v>2878.2</v>
      </c>
      <c r="I521" s="30">
        <v>22545.9</v>
      </c>
      <c r="J521" s="31">
        <v>29091.86</v>
      </c>
    </row>
    <row r="522" spans="1:10" ht="21" customHeight="1">
      <c r="A522" s="22">
        <v>45931</v>
      </c>
      <c r="B522" s="23" t="s">
        <v>38</v>
      </c>
      <c r="C522" s="23" t="s">
        <v>34</v>
      </c>
      <c r="D522" s="23" t="s">
        <v>58</v>
      </c>
      <c r="E522" s="24">
        <v>93</v>
      </c>
      <c r="F522" s="24">
        <v>186</v>
      </c>
      <c r="G522" s="25">
        <v>37176.75</v>
      </c>
      <c r="H522" s="25">
        <v>4647.09</v>
      </c>
      <c r="I522" s="25">
        <v>26209.61</v>
      </c>
      <c r="J522" s="26">
        <v>33023.620000000003</v>
      </c>
    </row>
    <row r="523" spans="1:10" ht="21" customHeight="1">
      <c r="A523" s="27">
        <v>45931</v>
      </c>
      <c r="B523" s="28" t="s">
        <v>38</v>
      </c>
      <c r="C523" s="28" t="s">
        <v>35</v>
      </c>
      <c r="D523" s="28" t="s">
        <v>57</v>
      </c>
      <c r="E523" s="29">
        <v>81</v>
      </c>
      <c r="F523" s="29">
        <v>243</v>
      </c>
      <c r="G523" s="30">
        <v>35368.65</v>
      </c>
      <c r="H523" s="30">
        <v>1237.9000000000001</v>
      </c>
      <c r="I523" s="30">
        <v>21574.880000000001</v>
      </c>
      <c r="J523" s="31">
        <v>37910.1</v>
      </c>
    </row>
    <row r="524" spans="1:10" ht="21" customHeight="1">
      <c r="A524" s="22">
        <v>45931</v>
      </c>
      <c r="B524" s="23" t="s">
        <v>38</v>
      </c>
      <c r="C524" s="23" t="s">
        <v>35</v>
      </c>
      <c r="D524" s="23" t="s">
        <v>58</v>
      </c>
      <c r="E524" s="24">
        <v>98</v>
      </c>
      <c r="F524" s="24">
        <v>294</v>
      </c>
      <c r="G524" s="25">
        <v>42791.7</v>
      </c>
      <c r="H524" s="25">
        <v>2995.42</v>
      </c>
      <c r="I524" s="25">
        <v>26102.94</v>
      </c>
      <c r="J524" s="26">
        <v>46458.25</v>
      </c>
    </row>
    <row r="525" spans="1:10" ht="21" customHeight="1">
      <c r="A525" s="27">
        <v>45931</v>
      </c>
      <c r="B525" s="28" t="s">
        <v>39</v>
      </c>
      <c r="C525" s="28" t="s">
        <v>33</v>
      </c>
      <c r="D525" s="28" t="s">
        <v>57</v>
      </c>
      <c r="E525" s="29">
        <v>77</v>
      </c>
      <c r="F525" s="29">
        <v>385</v>
      </c>
      <c r="G525" s="30">
        <v>14995.75</v>
      </c>
      <c r="H525" s="30">
        <v>524.85</v>
      </c>
      <c r="I525" s="30">
        <v>7947.75</v>
      </c>
      <c r="J525" s="31">
        <v>14612.08</v>
      </c>
    </row>
    <row r="526" spans="1:10" ht="21" customHeight="1">
      <c r="A526" s="22">
        <v>45931</v>
      </c>
      <c r="B526" s="23" t="s">
        <v>39</v>
      </c>
      <c r="C526" s="23" t="s">
        <v>33</v>
      </c>
      <c r="D526" s="23" t="s">
        <v>58</v>
      </c>
      <c r="E526" s="24">
        <v>97</v>
      </c>
      <c r="F526" s="24">
        <v>485</v>
      </c>
      <c r="G526" s="25">
        <v>18890.75</v>
      </c>
      <c r="H526" s="25">
        <v>1322.35</v>
      </c>
      <c r="I526" s="25">
        <v>10012.1</v>
      </c>
      <c r="J526" s="26">
        <v>19312.599999999999</v>
      </c>
    </row>
    <row r="527" spans="1:10" ht="21" customHeight="1">
      <c r="A527" s="27">
        <v>45931</v>
      </c>
      <c r="B527" s="28" t="s">
        <v>39</v>
      </c>
      <c r="C527" s="28" t="s">
        <v>34</v>
      </c>
      <c r="D527" s="28" t="s">
        <v>57</v>
      </c>
      <c r="E527" s="29">
        <v>80</v>
      </c>
      <c r="F527" s="29">
        <v>160</v>
      </c>
      <c r="G527" s="30">
        <v>31980</v>
      </c>
      <c r="H527" s="30">
        <v>2878.2</v>
      </c>
      <c r="I527" s="30">
        <v>22545.9</v>
      </c>
      <c r="J527" s="31">
        <v>29899.97</v>
      </c>
    </row>
    <row r="528" spans="1:10" ht="21" customHeight="1">
      <c r="A528" s="22">
        <v>45931</v>
      </c>
      <c r="B528" s="23" t="s">
        <v>39</v>
      </c>
      <c r="C528" s="23" t="s">
        <v>34</v>
      </c>
      <c r="D528" s="23" t="s">
        <v>58</v>
      </c>
      <c r="E528" s="24">
        <v>110</v>
      </c>
      <c r="F528" s="24">
        <v>220</v>
      </c>
      <c r="G528" s="25">
        <v>43972.5</v>
      </c>
      <c r="H528" s="25">
        <v>5496.56</v>
      </c>
      <c r="I528" s="25">
        <v>31000.61</v>
      </c>
      <c r="J528" s="26">
        <v>36520.230000000003</v>
      </c>
    </row>
    <row r="529" spans="1:10" ht="21" customHeight="1">
      <c r="A529" s="27">
        <v>45931</v>
      </c>
      <c r="B529" s="28" t="s">
        <v>39</v>
      </c>
      <c r="C529" s="28" t="s">
        <v>35</v>
      </c>
      <c r="D529" s="28" t="s">
        <v>57</v>
      </c>
      <c r="E529" s="29">
        <v>100</v>
      </c>
      <c r="F529" s="29">
        <v>300</v>
      </c>
      <c r="G529" s="30">
        <v>43665</v>
      </c>
      <c r="H529" s="30">
        <v>1528.28</v>
      </c>
      <c r="I529" s="30">
        <v>26635.65</v>
      </c>
      <c r="J529" s="31">
        <v>41654.31</v>
      </c>
    </row>
    <row r="530" spans="1:10" ht="21" customHeight="1">
      <c r="A530" s="22">
        <v>45931</v>
      </c>
      <c r="B530" s="23" t="s">
        <v>39</v>
      </c>
      <c r="C530" s="23" t="s">
        <v>35</v>
      </c>
      <c r="D530" s="23" t="s">
        <v>58</v>
      </c>
      <c r="E530" s="24">
        <v>107</v>
      </c>
      <c r="F530" s="24">
        <v>321</v>
      </c>
      <c r="G530" s="25">
        <v>46721.55</v>
      </c>
      <c r="H530" s="25">
        <v>3270.51</v>
      </c>
      <c r="I530" s="25">
        <v>28500.15</v>
      </c>
      <c r="J530" s="26">
        <v>45556.14</v>
      </c>
    </row>
    <row r="531" spans="1:10" ht="21" customHeight="1">
      <c r="A531" s="27">
        <v>45931</v>
      </c>
      <c r="B531" s="28" t="s">
        <v>40</v>
      </c>
      <c r="C531" s="28" t="s">
        <v>33</v>
      </c>
      <c r="D531" s="28" t="s">
        <v>57</v>
      </c>
      <c r="E531" s="29">
        <v>84</v>
      </c>
      <c r="F531" s="29">
        <v>420</v>
      </c>
      <c r="G531" s="30">
        <v>16359</v>
      </c>
      <c r="H531" s="30">
        <v>572.57000000000005</v>
      </c>
      <c r="I531" s="30">
        <v>8670.27</v>
      </c>
      <c r="J531" s="31">
        <v>17790.68</v>
      </c>
    </row>
    <row r="532" spans="1:10" ht="21" customHeight="1">
      <c r="A532" s="22">
        <v>45931</v>
      </c>
      <c r="B532" s="23" t="s">
        <v>40</v>
      </c>
      <c r="C532" s="23" t="s">
        <v>33</v>
      </c>
      <c r="D532" s="23" t="s">
        <v>58</v>
      </c>
      <c r="E532" s="24">
        <v>106</v>
      </c>
      <c r="F532" s="24">
        <v>530</v>
      </c>
      <c r="G532" s="25">
        <v>20643.5</v>
      </c>
      <c r="H532" s="25">
        <v>1445.05</v>
      </c>
      <c r="I532" s="25">
        <v>10941.06</v>
      </c>
      <c r="J532" s="26">
        <v>22860.560000000001</v>
      </c>
    </row>
    <row r="533" spans="1:10" ht="21" customHeight="1">
      <c r="A533" s="27">
        <v>45931</v>
      </c>
      <c r="B533" s="28" t="s">
        <v>40</v>
      </c>
      <c r="C533" s="28" t="s">
        <v>34</v>
      </c>
      <c r="D533" s="28" t="s">
        <v>57</v>
      </c>
      <c r="E533" s="29">
        <v>95</v>
      </c>
      <c r="F533" s="29">
        <v>190</v>
      </c>
      <c r="G533" s="30">
        <v>37976.25</v>
      </c>
      <c r="H533" s="30">
        <v>5126.79</v>
      </c>
      <c r="I533" s="30">
        <v>26773.26</v>
      </c>
      <c r="J533" s="31">
        <v>38109.61</v>
      </c>
    </row>
    <row r="534" spans="1:10" ht="21" customHeight="1">
      <c r="A534" s="22">
        <v>45931</v>
      </c>
      <c r="B534" s="23" t="s">
        <v>40</v>
      </c>
      <c r="C534" s="23" t="s">
        <v>34</v>
      </c>
      <c r="D534" s="23" t="s">
        <v>58</v>
      </c>
      <c r="E534" s="24">
        <v>111</v>
      </c>
      <c r="F534" s="24">
        <v>222</v>
      </c>
      <c r="G534" s="25">
        <v>44372.25</v>
      </c>
      <c r="H534" s="25">
        <v>7543.28</v>
      </c>
      <c r="I534" s="25">
        <v>31282.44</v>
      </c>
      <c r="J534" s="26">
        <v>45473.7</v>
      </c>
    </row>
    <row r="535" spans="1:10" ht="21" customHeight="1">
      <c r="A535" s="27">
        <v>45931</v>
      </c>
      <c r="B535" s="28" t="s">
        <v>40</v>
      </c>
      <c r="C535" s="28" t="s">
        <v>35</v>
      </c>
      <c r="D535" s="28" t="s">
        <v>57</v>
      </c>
      <c r="E535" s="29">
        <v>107</v>
      </c>
      <c r="F535" s="29">
        <v>321</v>
      </c>
      <c r="G535" s="30">
        <v>46721.55</v>
      </c>
      <c r="H535" s="30">
        <v>1635.25</v>
      </c>
      <c r="I535" s="30">
        <v>28500.15</v>
      </c>
      <c r="J535" s="31">
        <v>49993.68</v>
      </c>
    </row>
    <row r="536" spans="1:10" ht="21" customHeight="1">
      <c r="A536" s="22">
        <v>45931</v>
      </c>
      <c r="B536" s="23" t="s">
        <v>40</v>
      </c>
      <c r="C536" s="23" t="s">
        <v>35</v>
      </c>
      <c r="D536" s="23" t="s">
        <v>58</v>
      </c>
      <c r="E536" s="24">
        <v>136</v>
      </c>
      <c r="F536" s="24">
        <v>408</v>
      </c>
      <c r="G536" s="25">
        <v>59384.4</v>
      </c>
      <c r="H536" s="25">
        <v>4156.91</v>
      </c>
      <c r="I536" s="25">
        <v>36224.480000000003</v>
      </c>
      <c r="J536" s="26">
        <v>58944.160000000003</v>
      </c>
    </row>
    <row r="537" spans="1:10" ht="21" customHeight="1">
      <c r="A537" s="27">
        <v>45962</v>
      </c>
      <c r="B537" s="28" t="s">
        <v>37</v>
      </c>
      <c r="C537" s="28" t="s">
        <v>33</v>
      </c>
      <c r="D537" s="28" t="s">
        <v>57</v>
      </c>
      <c r="E537" s="29">
        <v>66</v>
      </c>
      <c r="F537" s="29">
        <v>330</v>
      </c>
      <c r="G537" s="30">
        <v>12853.5</v>
      </c>
      <c r="H537" s="30">
        <v>449.87</v>
      </c>
      <c r="I537" s="30">
        <v>6812.36</v>
      </c>
      <c r="J537" s="31">
        <v>12733.38</v>
      </c>
    </row>
    <row r="538" spans="1:10" ht="21" customHeight="1">
      <c r="A538" s="22">
        <v>45962</v>
      </c>
      <c r="B538" s="23" t="s">
        <v>37</v>
      </c>
      <c r="C538" s="23" t="s">
        <v>33</v>
      </c>
      <c r="D538" s="23" t="s">
        <v>58</v>
      </c>
      <c r="E538" s="24">
        <v>97</v>
      </c>
      <c r="F538" s="24">
        <v>485</v>
      </c>
      <c r="G538" s="25">
        <v>18890.75</v>
      </c>
      <c r="H538" s="25">
        <v>1322.35</v>
      </c>
      <c r="I538" s="25">
        <v>10012.1</v>
      </c>
      <c r="J538" s="26">
        <v>16496.18</v>
      </c>
    </row>
    <row r="539" spans="1:10" ht="21" customHeight="1">
      <c r="A539" s="27">
        <v>45962</v>
      </c>
      <c r="B539" s="28" t="s">
        <v>37</v>
      </c>
      <c r="C539" s="28" t="s">
        <v>34</v>
      </c>
      <c r="D539" s="28" t="s">
        <v>57</v>
      </c>
      <c r="E539" s="29">
        <v>74</v>
      </c>
      <c r="F539" s="29">
        <v>148</v>
      </c>
      <c r="G539" s="30">
        <v>29581.5</v>
      </c>
      <c r="H539" s="30">
        <v>2662.34</v>
      </c>
      <c r="I539" s="30">
        <v>20854.96</v>
      </c>
      <c r="J539" s="31">
        <v>28687.81</v>
      </c>
    </row>
    <row r="540" spans="1:10" ht="21" customHeight="1">
      <c r="A540" s="22">
        <v>45962</v>
      </c>
      <c r="B540" s="23" t="s">
        <v>37</v>
      </c>
      <c r="C540" s="23" t="s">
        <v>34</v>
      </c>
      <c r="D540" s="23" t="s">
        <v>58</v>
      </c>
      <c r="E540" s="24">
        <v>110</v>
      </c>
      <c r="F540" s="24">
        <v>220</v>
      </c>
      <c r="G540" s="25">
        <v>43972.5</v>
      </c>
      <c r="H540" s="25">
        <v>5496.56</v>
      </c>
      <c r="I540" s="25">
        <v>31000.61</v>
      </c>
      <c r="J540" s="26">
        <v>33800.639999999999</v>
      </c>
    </row>
    <row r="541" spans="1:10" ht="21" customHeight="1">
      <c r="A541" s="27">
        <v>45962</v>
      </c>
      <c r="B541" s="28" t="s">
        <v>37</v>
      </c>
      <c r="C541" s="28" t="s">
        <v>35</v>
      </c>
      <c r="D541" s="28" t="s">
        <v>57</v>
      </c>
      <c r="E541" s="29">
        <v>83</v>
      </c>
      <c r="F541" s="29">
        <v>249</v>
      </c>
      <c r="G541" s="30">
        <v>36241.949999999997</v>
      </c>
      <c r="H541" s="30">
        <v>1268.47</v>
      </c>
      <c r="I541" s="30">
        <v>22107.59</v>
      </c>
      <c r="J541" s="31">
        <v>35569.97</v>
      </c>
    </row>
    <row r="542" spans="1:10" ht="21" customHeight="1">
      <c r="A542" s="22">
        <v>45962</v>
      </c>
      <c r="B542" s="23" t="s">
        <v>37</v>
      </c>
      <c r="C542" s="23" t="s">
        <v>35</v>
      </c>
      <c r="D542" s="23" t="s">
        <v>58</v>
      </c>
      <c r="E542" s="24">
        <v>122</v>
      </c>
      <c r="F542" s="24">
        <v>366</v>
      </c>
      <c r="G542" s="25">
        <v>53271.3</v>
      </c>
      <c r="H542" s="25">
        <v>3728.99</v>
      </c>
      <c r="I542" s="25">
        <v>32495.49</v>
      </c>
      <c r="J542" s="26">
        <v>50066.65</v>
      </c>
    </row>
    <row r="543" spans="1:10" ht="21" customHeight="1">
      <c r="A543" s="27">
        <v>45962</v>
      </c>
      <c r="B543" s="28" t="s">
        <v>38</v>
      </c>
      <c r="C543" s="28" t="s">
        <v>33</v>
      </c>
      <c r="D543" s="28" t="s">
        <v>57</v>
      </c>
      <c r="E543" s="29">
        <v>81</v>
      </c>
      <c r="F543" s="29">
        <v>405</v>
      </c>
      <c r="G543" s="30">
        <v>15774.75</v>
      </c>
      <c r="H543" s="30">
        <v>552.12</v>
      </c>
      <c r="I543" s="30">
        <v>8360.6200000000008</v>
      </c>
      <c r="J543" s="31">
        <v>15864.54</v>
      </c>
    </row>
    <row r="544" spans="1:10" ht="21" customHeight="1">
      <c r="A544" s="22">
        <v>45962</v>
      </c>
      <c r="B544" s="23" t="s">
        <v>38</v>
      </c>
      <c r="C544" s="23" t="s">
        <v>33</v>
      </c>
      <c r="D544" s="23" t="s">
        <v>58</v>
      </c>
      <c r="E544" s="24">
        <v>111</v>
      </c>
      <c r="F544" s="24">
        <v>555</v>
      </c>
      <c r="G544" s="25">
        <v>21617.25</v>
      </c>
      <c r="H544" s="25">
        <v>1513.21</v>
      </c>
      <c r="I544" s="25">
        <v>11457.14</v>
      </c>
      <c r="J544" s="26">
        <v>17904.39</v>
      </c>
    </row>
    <row r="545" spans="1:10" ht="21" customHeight="1">
      <c r="A545" s="27">
        <v>45962</v>
      </c>
      <c r="B545" s="28" t="s">
        <v>38</v>
      </c>
      <c r="C545" s="28" t="s">
        <v>34</v>
      </c>
      <c r="D545" s="28" t="s">
        <v>57</v>
      </c>
      <c r="E545" s="29">
        <v>85</v>
      </c>
      <c r="F545" s="29">
        <v>170</v>
      </c>
      <c r="G545" s="30">
        <v>33978.75</v>
      </c>
      <c r="H545" s="30">
        <v>3058.09</v>
      </c>
      <c r="I545" s="30">
        <v>23955.02</v>
      </c>
      <c r="J545" s="31">
        <v>35556.720000000001</v>
      </c>
    </row>
    <row r="546" spans="1:10" ht="21" customHeight="1">
      <c r="A546" s="22">
        <v>45962</v>
      </c>
      <c r="B546" s="23" t="s">
        <v>38</v>
      </c>
      <c r="C546" s="23" t="s">
        <v>34</v>
      </c>
      <c r="D546" s="23" t="s">
        <v>58</v>
      </c>
      <c r="E546" s="24">
        <v>121</v>
      </c>
      <c r="F546" s="24">
        <v>242</v>
      </c>
      <c r="G546" s="25">
        <v>48369.75</v>
      </c>
      <c r="H546" s="25">
        <v>6046.22</v>
      </c>
      <c r="I546" s="25">
        <v>34100.67</v>
      </c>
      <c r="J546" s="26">
        <v>42736.44</v>
      </c>
    </row>
    <row r="547" spans="1:10" ht="21" customHeight="1">
      <c r="A547" s="27">
        <v>45962</v>
      </c>
      <c r="B547" s="28" t="s">
        <v>38</v>
      </c>
      <c r="C547" s="28" t="s">
        <v>35</v>
      </c>
      <c r="D547" s="28" t="s">
        <v>57</v>
      </c>
      <c r="E547" s="29">
        <v>99</v>
      </c>
      <c r="F547" s="29">
        <v>297</v>
      </c>
      <c r="G547" s="30">
        <v>43228.35</v>
      </c>
      <c r="H547" s="30">
        <v>1512.99</v>
      </c>
      <c r="I547" s="30">
        <v>26369.29</v>
      </c>
      <c r="J547" s="31">
        <v>44930.49</v>
      </c>
    </row>
    <row r="548" spans="1:10" ht="21" customHeight="1">
      <c r="A548" s="22">
        <v>45962</v>
      </c>
      <c r="B548" s="23" t="s">
        <v>38</v>
      </c>
      <c r="C548" s="23" t="s">
        <v>35</v>
      </c>
      <c r="D548" s="23" t="s">
        <v>58</v>
      </c>
      <c r="E548" s="24">
        <v>118</v>
      </c>
      <c r="F548" s="24">
        <v>354</v>
      </c>
      <c r="G548" s="25">
        <v>51524.7</v>
      </c>
      <c r="H548" s="25">
        <v>3606.73</v>
      </c>
      <c r="I548" s="25">
        <v>31430.07</v>
      </c>
      <c r="J548" s="26">
        <v>53224.01</v>
      </c>
    </row>
    <row r="549" spans="1:10" ht="21" customHeight="1">
      <c r="A549" s="27">
        <v>45962</v>
      </c>
      <c r="B549" s="28" t="s">
        <v>39</v>
      </c>
      <c r="C549" s="28" t="s">
        <v>33</v>
      </c>
      <c r="D549" s="28" t="s">
        <v>57</v>
      </c>
      <c r="E549" s="29">
        <v>91</v>
      </c>
      <c r="F549" s="29">
        <v>455</v>
      </c>
      <c r="G549" s="30">
        <v>17722.25</v>
      </c>
      <c r="H549" s="30">
        <v>620.28</v>
      </c>
      <c r="I549" s="30">
        <v>9392.7900000000009</v>
      </c>
      <c r="J549" s="31">
        <v>17534.490000000002</v>
      </c>
    </row>
    <row r="550" spans="1:10" ht="21" customHeight="1">
      <c r="A550" s="22">
        <v>45962</v>
      </c>
      <c r="B550" s="23" t="s">
        <v>39</v>
      </c>
      <c r="C550" s="23" t="s">
        <v>33</v>
      </c>
      <c r="D550" s="23" t="s">
        <v>58</v>
      </c>
      <c r="E550" s="24">
        <v>121</v>
      </c>
      <c r="F550" s="24">
        <v>605</v>
      </c>
      <c r="G550" s="25">
        <v>23564.75</v>
      </c>
      <c r="H550" s="25">
        <v>1649.53</v>
      </c>
      <c r="I550" s="25">
        <v>12489.32</v>
      </c>
      <c r="J550" s="26">
        <v>21324.33</v>
      </c>
    </row>
    <row r="551" spans="1:10" ht="21" customHeight="1">
      <c r="A551" s="27">
        <v>45962</v>
      </c>
      <c r="B551" s="28" t="s">
        <v>39</v>
      </c>
      <c r="C551" s="28" t="s">
        <v>34</v>
      </c>
      <c r="D551" s="28" t="s">
        <v>57</v>
      </c>
      <c r="E551" s="29">
        <v>110</v>
      </c>
      <c r="F551" s="29">
        <v>220</v>
      </c>
      <c r="G551" s="30">
        <v>43972.5</v>
      </c>
      <c r="H551" s="30">
        <v>3957.52</v>
      </c>
      <c r="I551" s="30">
        <v>31000.61</v>
      </c>
      <c r="J551" s="31">
        <v>36768.879999999997</v>
      </c>
    </row>
    <row r="552" spans="1:10" ht="21" customHeight="1">
      <c r="A552" s="22">
        <v>45962</v>
      </c>
      <c r="B552" s="23" t="s">
        <v>39</v>
      </c>
      <c r="C552" s="23" t="s">
        <v>34</v>
      </c>
      <c r="D552" s="23" t="s">
        <v>58</v>
      </c>
      <c r="E552" s="24">
        <v>137</v>
      </c>
      <c r="F552" s="24">
        <v>274</v>
      </c>
      <c r="G552" s="25">
        <v>54765.75</v>
      </c>
      <c r="H552" s="25">
        <v>6845.72</v>
      </c>
      <c r="I552" s="25">
        <v>38609.85</v>
      </c>
      <c r="J552" s="26">
        <v>41570.9</v>
      </c>
    </row>
    <row r="553" spans="1:10" ht="21" customHeight="1">
      <c r="A553" s="27">
        <v>45962</v>
      </c>
      <c r="B553" s="28" t="s">
        <v>39</v>
      </c>
      <c r="C553" s="28" t="s">
        <v>35</v>
      </c>
      <c r="D553" s="28" t="s">
        <v>57</v>
      </c>
      <c r="E553" s="29">
        <v>116</v>
      </c>
      <c r="F553" s="29">
        <v>348</v>
      </c>
      <c r="G553" s="30">
        <v>50651.4</v>
      </c>
      <c r="H553" s="30">
        <v>1772.8</v>
      </c>
      <c r="I553" s="30">
        <v>30897.35</v>
      </c>
      <c r="J553" s="31">
        <v>45398.52</v>
      </c>
    </row>
    <row r="554" spans="1:10" ht="21" customHeight="1">
      <c r="A554" s="22">
        <v>45962</v>
      </c>
      <c r="B554" s="23" t="s">
        <v>39</v>
      </c>
      <c r="C554" s="23" t="s">
        <v>35</v>
      </c>
      <c r="D554" s="23" t="s">
        <v>58</v>
      </c>
      <c r="E554" s="24">
        <v>132</v>
      </c>
      <c r="F554" s="24">
        <v>396</v>
      </c>
      <c r="G554" s="25">
        <v>57637.8</v>
      </c>
      <c r="H554" s="25">
        <v>4034.65</v>
      </c>
      <c r="I554" s="25">
        <v>35159.06</v>
      </c>
      <c r="J554" s="26">
        <v>56832.42</v>
      </c>
    </row>
    <row r="555" spans="1:10" ht="21" customHeight="1">
      <c r="A555" s="27">
        <v>45962</v>
      </c>
      <c r="B555" s="28" t="s">
        <v>40</v>
      </c>
      <c r="C555" s="28" t="s">
        <v>33</v>
      </c>
      <c r="D555" s="28" t="s">
        <v>57</v>
      </c>
      <c r="E555" s="29">
        <v>110</v>
      </c>
      <c r="F555" s="29">
        <v>550</v>
      </c>
      <c r="G555" s="30">
        <v>21422.5</v>
      </c>
      <c r="H555" s="30">
        <v>749.79</v>
      </c>
      <c r="I555" s="30">
        <v>11353.93</v>
      </c>
      <c r="J555" s="31">
        <v>20637.189999999999</v>
      </c>
    </row>
    <row r="556" spans="1:10" ht="21" customHeight="1">
      <c r="A556" s="22">
        <v>45962</v>
      </c>
      <c r="B556" s="23" t="s">
        <v>40</v>
      </c>
      <c r="C556" s="23" t="s">
        <v>33</v>
      </c>
      <c r="D556" s="23" t="s">
        <v>58</v>
      </c>
      <c r="E556" s="24">
        <v>136</v>
      </c>
      <c r="F556" s="24">
        <v>680</v>
      </c>
      <c r="G556" s="25">
        <v>26486</v>
      </c>
      <c r="H556" s="25">
        <v>1854.02</v>
      </c>
      <c r="I556" s="25">
        <v>14037.58</v>
      </c>
      <c r="J556" s="26">
        <v>27661.279999999999</v>
      </c>
    </row>
    <row r="557" spans="1:10" ht="21" customHeight="1">
      <c r="A557" s="27">
        <v>45962</v>
      </c>
      <c r="B557" s="28" t="s">
        <v>40</v>
      </c>
      <c r="C557" s="28" t="s">
        <v>34</v>
      </c>
      <c r="D557" s="28" t="s">
        <v>57</v>
      </c>
      <c r="E557" s="29">
        <v>116</v>
      </c>
      <c r="F557" s="29">
        <v>232</v>
      </c>
      <c r="G557" s="30">
        <v>46371</v>
      </c>
      <c r="H557" s="30">
        <v>6260.09</v>
      </c>
      <c r="I557" s="30">
        <v>32691.56</v>
      </c>
      <c r="J557" s="31">
        <v>48210.95</v>
      </c>
    </row>
    <row r="558" spans="1:10" ht="21" customHeight="1">
      <c r="A558" s="22">
        <v>45962</v>
      </c>
      <c r="B558" s="23" t="s">
        <v>40</v>
      </c>
      <c r="C558" s="23" t="s">
        <v>34</v>
      </c>
      <c r="D558" s="23" t="s">
        <v>58</v>
      </c>
      <c r="E558" s="24">
        <v>141</v>
      </c>
      <c r="F558" s="24">
        <v>282</v>
      </c>
      <c r="G558" s="25">
        <v>56364.75</v>
      </c>
      <c r="H558" s="25">
        <v>9582.01</v>
      </c>
      <c r="I558" s="25">
        <v>39737.15</v>
      </c>
      <c r="J558" s="26">
        <v>52096.08</v>
      </c>
    </row>
    <row r="559" spans="1:10" ht="21" customHeight="1">
      <c r="A559" s="27">
        <v>45962</v>
      </c>
      <c r="B559" s="28" t="s">
        <v>40</v>
      </c>
      <c r="C559" s="28" t="s">
        <v>35</v>
      </c>
      <c r="D559" s="28" t="s">
        <v>57</v>
      </c>
      <c r="E559" s="29">
        <v>115</v>
      </c>
      <c r="F559" s="29">
        <v>345</v>
      </c>
      <c r="G559" s="30">
        <v>50214.75</v>
      </c>
      <c r="H559" s="30">
        <v>1757.52</v>
      </c>
      <c r="I559" s="30">
        <v>30631</v>
      </c>
      <c r="J559" s="31">
        <v>62758.03</v>
      </c>
    </row>
    <row r="560" spans="1:10" ht="21" customHeight="1">
      <c r="A560" s="22">
        <v>45962</v>
      </c>
      <c r="B560" s="23" t="s">
        <v>40</v>
      </c>
      <c r="C560" s="23" t="s">
        <v>35</v>
      </c>
      <c r="D560" s="23" t="s">
        <v>58</v>
      </c>
      <c r="E560" s="24">
        <v>158</v>
      </c>
      <c r="F560" s="24">
        <v>474</v>
      </c>
      <c r="G560" s="25">
        <v>68990.7</v>
      </c>
      <c r="H560" s="25">
        <v>4829.3500000000004</v>
      </c>
      <c r="I560" s="25">
        <v>42084.33</v>
      </c>
      <c r="J560" s="26">
        <v>69195.31</v>
      </c>
    </row>
    <row r="561" spans="1:10" ht="21" customHeight="1">
      <c r="A561" s="27">
        <v>45992</v>
      </c>
      <c r="B561" s="28" t="s">
        <v>37</v>
      </c>
      <c r="C561" s="28" t="s">
        <v>33</v>
      </c>
      <c r="D561" s="28" t="s">
        <v>57</v>
      </c>
      <c r="E561" s="29">
        <v>69</v>
      </c>
      <c r="F561" s="29">
        <v>345</v>
      </c>
      <c r="G561" s="30">
        <v>13437.75</v>
      </c>
      <c r="H561" s="30">
        <v>470.32</v>
      </c>
      <c r="I561" s="30">
        <v>7122.01</v>
      </c>
      <c r="J561" s="31">
        <v>14403.33</v>
      </c>
    </row>
    <row r="562" spans="1:10" ht="21" customHeight="1">
      <c r="A562" s="22">
        <v>45992</v>
      </c>
      <c r="B562" s="23" t="s">
        <v>37</v>
      </c>
      <c r="C562" s="23" t="s">
        <v>33</v>
      </c>
      <c r="D562" s="23" t="s">
        <v>58</v>
      </c>
      <c r="E562" s="24">
        <v>108</v>
      </c>
      <c r="F562" s="24">
        <v>540</v>
      </c>
      <c r="G562" s="25">
        <v>21033</v>
      </c>
      <c r="H562" s="25">
        <v>1472.31</v>
      </c>
      <c r="I562" s="25">
        <v>11147.49</v>
      </c>
      <c r="J562" s="26">
        <v>17904.39</v>
      </c>
    </row>
    <row r="563" spans="1:10" ht="21" customHeight="1">
      <c r="A563" s="27">
        <v>45992</v>
      </c>
      <c r="B563" s="28" t="s">
        <v>37</v>
      </c>
      <c r="C563" s="28" t="s">
        <v>34</v>
      </c>
      <c r="D563" s="28" t="s">
        <v>57</v>
      </c>
      <c r="E563" s="29">
        <v>91</v>
      </c>
      <c r="F563" s="29">
        <v>182</v>
      </c>
      <c r="G563" s="30">
        <v>36377.25</v>
      </c>
      <c r="H563" s="30">
        <v>3273.95</v>
      </c>
      <c r="I563" s="30">
        <v>25645.96</v>
      </c>
      <c r="J563" s="31">
        <v>30304.02</v>
      </c>
    </row>
    <row r="564" spans="1:10" ht="21" customHeight="1">
      <c r="A564" s="22">
        <v>45992</v>
      </c>
      <c r="B564" s="23" t="s">
        <v>37</v>
      </c>
      <c r="C564" s="23" t="s">
        <v>34</v>
      </c>
      <c r="D564" s="23" t="s">
        <v>58</v>
      </c>
      <c r="E564" s="24">
        <v>113</v>
      </c>
      <c r="F564" s="24">
        <v>226</v>
      </c>
      <c r="G564" s="25">
        <v>45171.75</v>
      </c>
      <c r="H564" s="25">
        <v>5646.47</v>
      </c>
      <c r="I564" s="25">
        <v>31846.080000000002</v>
      </c>
      <c r="J564" s="26">
        <v>39628.339999999997</v>
      </c>
    </row>
    <row r="565" spans="1:10" ht="21" customHeight="1">
      <c r="A565" s="27">
        <v>45992</v>
      </c>
      <c r="B565" s="28" t="s">
        <v>37</v>
      </c>
      <c r="C565" s="28" t="s">
        <v>35</v>
      </c>
      <c r="D565" s="28" t="s">
        <v>57</v>
      </c>
      <c r="E565" s="29">
        <v>102</v>
      </c>
      <c r="F565" s="29">
        <v>306</v>
      </c>
      <c r="G565" s="30">
        <v>44538.3</v>
      </c>
      <c r="H565" s="30">
        <v>1558.84</v>
      </c>
      <c r="I565" s="30">
        <v>27168.36</v>
      </c>
      <c r="J565" s="31">
        <v>42590.36</v>
      </c>
    </row>
    <row r="566" spans="1:10" ht="21" customHeight="1">
      <c r="A566" s="22">
        <v>45992</v>
      </c>
      <c r="B566" s="23" t="s">
        <v>37</v>
      </c>
      <c r="C566" s="23" t="s">
        <v>35</v>
      </c>
      <c r="D566" s="23" t="s">
        <v>58</v>
      </c>
      <c r="E566" s="24">
        <v>127</v>
      </c>
      <c r="F566" s="24">
        <v>381</v>
      </c>
      <c r="G566" s="25">
        <v>55454.55</v>
      </c>
      <c r="H566" s="25">
        <v>3881.82</v>
      </c>
      <c r="I566" s="25">
        <v>33827.279999999999</v>
      </c>
      <c r="J566" s="26">
        <v>47360.35</v>
      </c>
    </row>
    <row r="567" spans="1:10" ht="21" customHeight="1">
      <c r="A567" s="27">
        <v>45992</v>
      </c>
      <c r="B567" s="28" t="s">
        <v>38</v>
      </c>
      <c r="C567" s="28" t="s">
        <v>33</v>
      </c>
      <c r="D567" s="28" t="s">
        <v>57</v>
      </c>
      <c r="E567" s="29">
        <v>91</v>
      </c>
      <c r="F567" s="29">
        <v>455</v>
      </c>
      <c r="G567" s="30">
        <v>17722.25</v>
      </c>
      <c r="H567" s="30">
        <v>620.28</v>
      </c>
      <c r="I567" s="30">
        <v>9392.7900000000009</v>
      </c>
      <c r="J567" s="31">
        <v>17534.490000000002</v>
      </c>
    </row>
    <row r="568" spans="1:10" ht="21" customHeight="1">
      <c r="A568" s="22">
        <v>45992</v>
      </c>
      <c r="B568" s="23" t="s">
        <v>38</v>
      </c>
      <c r="C568" s="23" t="s">
        <v>33</v>
      </c>
      <c r="D568" s="23" t="s">
        <v>58</v>
      </c>
      <c r="E568" s="24">
        <v>107</v>
      </c>
      <c r="F568" s="24">
        <v>535</v>
      </c>
      <c r="G568" s="25">
        <v>20838.25</v>
      </c>
      <c r="H568" s="25">
        <v>1458.68</v>
      </c>
      <c r="I568" s="25">
        <v>11044.27</v>
      </c>
      <c r="J568" s="26">
        <v>19714.95</v>
      </c>
    </row>
    <row r="569" spans="1:10" ht="21" customHeight="1">
      <c r="A569" s="27">
        <v>45992</v>
      </c>
      <c r="B569" s="28" t="s">
        <v>38</v>
      </c>
      <c r="C569" s="28" t="s">
        <v>34</v>
      </c>
      <c r="D569" s="28" t="s">
        <v>57</v>
      </c>
      <c r="E569" s="29">
        <v>96</v>
      </c>
      <c r="F569" s="29">
        <v>192</v>
      </c>
      <c r="G569" s="30">
        <v>38376</v>
      </c>
      <c r="H569" s="30">
        <v>3453.84</v>
      </c>
      <c r="I569" s="30">
        <v>27055.08</v>
      </c>
      <c r="J569" s="31">
        <v>32728.35</v>
      </c>
    </row>
    <row r="570" spans="1:10" ht="21" customHeight="1">
      <c r="A570" s="22">
        <v>45992</v>
      </c>
      <c r="B570" s="23" t="s">
        <v>38</v>
      </c>
      <c r="C570" s="23" t="s">
        <v>34</v>
      </c>
      <c r="D570" s="23" t="s">
        <v>58</v>
      </c>
      <c r="E570" s="24">
        <v>119</v>
      </c>
      <c r="F570" s="24">
        <v>238</v>
      </c>
      <c r="G570" s="25">
        <v>47570.25</v>
      </c>
      <c r="H570" s="25">
        <v>5946.28</v>
      </c>
      <c r="I570" s="25">
        <v>33537.03</v>
      </c>
      <c r="J570" s="26">
        <v>43901.98</v>
      </c>
    </row>
    <row r="571" spans="1:10" ht="21" customHeight="1">
      <c r="A571" s="27">
        <v>45992</v>
      </c>
      <c r="B571" s="28" t="s">
        <v>38</v>
      </c>
      <c r="C571" s="28" t="s">
        <v>35</v>
      </c>
      <c r="D571" s="28" t="s">
        <v>57</v>
      </c>
      <c r="E571" s="29">
        <v>104</v>
      </c>
      <c r="F571" s="29">
        <v>312</v>
      </c>
      <c r="G571" s="30">
        <v>45411.6</v>
      </c>
      <c r="H571" s="30">
        <v>1589.41</v>
      </c>
      <c r="I571" s="30">
        <v>27701.08</v>
      </c>
      <c r="J571" s="31">
        <v>48674.7</v>
      </c>
    </row>
    <row r="572" spans="1:10" ht="21" customHeight="1">
      <c r="A572" s="22">
        <v>45992</v>
      </c>
      <c r="B572" s="23" t="s">
        <v>38</v>
      </c>
      <c r="C572" s="23" t="s">
        <v>35</v>
      </c>
      <c r="D572" s="23" t="s">
        <v>58</v>
      </c>
      <c r="E572" s="24">
        <v>127</v>
      </c>
      <c r="F572" s="24">
        <v>381</v>
      </c>
      <c r="G572" s="25">
        <v>55454.55</v>
      </c>
      <c r="H572" s="25">
        <v>3881.82</v>
      </c>
      <c r="I572" s="25">
        <v>33827.279999999999</v>
      </c>
      <c r="J572" s="26">
        <v>54126.11</v>
      </c>
    </row>
    <row r="573" spans="1:10" ht="21" customHeight="1">
      <c r="A573" s="27">
        <v>45992</v>
      </c>
      <c r="B573" s="28" t="s">
        <v>39</v>
      </c>
      <c r="C573" s="28" t="s">
        <v>33</v>
      </c>
      <c r="D573" s="28" t="s">
        <v>57</v>
      </c>
      <c r="E573" s="29">
        <v>100</v>
      </c>
      <c r="F573" s="29">
        <v>500</v>
      </c>
      <c r="G573" s="30">
        <v>19475</v>
      </c>
      <c r="H573" s="30">
        <v>681.63</v>
      </c>
      <c r="I573" s="30">
        <v>10321.75</v>
      </c>
      <c r="J573" s="31">
        <v>19830.68</v>
      </c>
    </row>
    <row r="574" spans="1:10" ht="21" customHeight="1">
      <c r="A574" s="22">
        <v>45992</v>
      </c>
      <c r="B574" s="23" t="s">
        <v>39</v>
      </c>
      <c r="C574" s="23" t="s">
        <v>33</v>
      </c>
      <c r="D574" s="23" t="s">
        <v>58</v>
      </c>
      <c r="E574" s="24">
        <v>133</v>
      </c>
      <c r="F574" s="24">
        <v>665</v>
      </c>
      <c r="G574" s="25">
        <v>25901.75</v>
      </c>
      <c r="H574" s="25">
        <v>1813.12</v>
      </c>
      <c r="I574" s="25">
        <v>13727.93</v>
      </c>
      <c r="J574" s="26">
        <v>23336.06</v>
      </c>
    </row>
    <row r="575" spans="1:10" ht="21" customHeight="1">
      <c r="A575" s="27">
        <v>45992</v>
      </c>
      <c r="B575" s="28" t="s">
        <v>39</v>
      </c>
      <c r="C575" s="28" t="s">
        <v>34</v>
      </c>
      <c r="D575" s="28" t="s">
        <v>57</v>
      </c>
      <c r="E575" s="29">
        <v>111</v>
      </c>
      <c r="F575" s="29">
        <v>222</v>
      </c>
      <c r="G575" s="30">
        <v>44372.25</v>
      </c>
      <c r="H575" s="30">
        <v>3993.5</v>
      </c>
      <c r="I575" s="30">
        <v>31282.44</v>
      </c>
      <c r="J575" s="31">
        <v>37576.99</v>
      </c>
    </row>
    <row r="576" spans="1:10" ht="21" customHeight="1">
      <c r="A576" s="22">
        <v>45992</v>
      </c>
      <c r="B576" s="23" t="s">
        <v>39</v>
      </c>
      <c r="C576" s="23" t="s">
        <v>34</v>
      </c>
      <c r="D576" s="23" t="s">
        <v>58</v>
      </c>
      <c r="E576" s="24">
        <v>129</v>
      </c>
      <c r="F576" s="24">
        <v>258</v>
      </c>
      <c r="G576" s="25">
        <v>51567.75</v>
      </c>
      <c r="H576" s="25">
        <v>6445.97</v>
      </c>
      <c r="I576" s="25">
        <v>36355.26</v>
      </c>
      <c r="J576" s="26">
        <v>50506.71</v>
      </c>
    </row>
    <row r="577" spans="1:10" ht="21" customHeight="1">
      <c r="A577" s="27">
        <v>45992</v>
      </c>
      <c r="B577" s="28" t="s">
        <v>39</v>
      </c>
      <c r="C577" s="28" t="s">
        <v>35</v>
      </c>
      <c r="D577" s="28" t="s">
        <v>57</v>
      </c>
      <c r="E577" s="29">
        <v>120</v>
      </c>
      <c r="F577" s="29">
        <v>360</v>
      </c>
      <c r="G577" s="30">
        <v>52398</v>
      </c>
      <c r="H577" s="30">
        <v>1833.93</v>
      </c>
      <c r="I577" s="30">
        <v>31962.78</v>
      </c>
      <c r="J577" s="31">
        <v>51950.879999999997</v>
      </c>
    </row>
    <row r="578" spans="1:10" ht="21" customHeight="1">
      <c r="A578" s="22">
        <v>45992</v>
      </c>
      <c r="B578" s="23" t="s">
        <v>39</v>
      </c>
      <c r="C578" s="23" t="s">
        <v>35</v>
      </c>
      <c r="D578" s="23" t="s">
        <v>58</v>
      </c>
      <c r="E578" s="24">
        <v>146</v>
      </c>
      <c r="F578" s="24">
        <v>438</v>
      </c>
      <c r="G578" s="25">
        <v>63750.9</v>
      </c>
      <c r="H578" s="25">
        <v>4462.5600000000004</v>
      </c>
      <c r="I578" s="25">
        <v>38888.050000000003</v>
      </c>
      <c r="J578" s="26">
        <v>56832.42</v>
      </c>
    </row>
    <row r="579" spans="1:10" ht="21" customHeight="1">
      <c r="A579" s="27">
        <v>45992</v>
      </c>
      <c r="B579" s="28" t="s">
        <v>40</v>
      </c>
      <c r="C579" s="28" t="s">
        <v>33</v>
      </c>
      <c r="D579" s="28" t="s">
        <v>57</v>
      </c>
      <c r="E579" s="29">
        <v>106</v>
      </c>
      <c r="F579" s="29">
        <v>530</v>
      </c>
      <c r="G579" s="30">
        <v>20643.5</v>
      </c>
      <c r="H579" s="30">
        <v>722.52</v>
      </c>
      <c r="I579" s="30">
        <v>10941.06</v>
      </c>
      <c r="J579" s="31">
        <v>22297.65</v>
      </c>
    </row>
    <row r="580" spans="1:10" ht="21" customHeight="1">
      <c r="A580" s="22">
        <v>45992</v>
      </c>
      <c r="B580" s="23" t="s">
        <v>40</v>
      </c>
      <c r="C580" s="23" t="s">
        <v>33</v>
      </c>
      <c r="D580" s="23" t="s">
        <v>58</v>
      </c>
      <c r="E580" s="24">
        <v>137</v>
      </c>
      <c r="F580" s="24">
        <v>685</v>
      </c>
      <c r="G580" s="25">
        <v>26680.75</v>
      </c>
      <c r="H580" s="25">
        <v>1867.65</v>
      </c>
      <c r="I580" s="25">
        <v>14140.8</v>
      </c>
      <c r="J580" s="26">
        <v>27432.68</v>
      </c>
    </row>
    <row r="581" spans="1:10" ht="21" customHeight="1">
      <c r="A581" s="27">
        <v>45992</v>
      </c>
      <c r="B581" s="28" t="s">
        <v>40</v>
      </c>
      <c r="C581" s="28" t="s">
        <v>34</v>
      </c>
      <c r="D581" s="28" t="s">
        <v>57</v>
      </c>
      <c r="E581" s="29">
        <v>116</v>
      </c>
      <c r="F581" s="29">
        <v>232</v>
      </c>
      <c r="G581" s="30">
        <v>46371</v>
      </c>
      <c r="H581" s="30">
        <v>6260.09</v>
      </c>
      <c r="I581" s="30">
        <v>32691.56</v>
      </c>
      <c r="J581" s="31">
        <v>53261.62</v>
      </c>
    </row>
    <row r="582" spans="1:10" ht="21" customHeight="1">
      <c r="A582" s="22">
        <v>45992</v>
      </c>
      <c r="B582" s="23" t="s">
        <v>40</v>
      </c>
      <c r="C582" s="23" t="s">
        <v>34</v>
      </c>
      <c r="D582" s="23" t="s">
        <v>58</v>
      </c>
      <c r="E582" s="24">
        <v>148</v>
      </c>
      <c r="F582" s="24">
        <v>296</v>
      </c>
      <c r="G582" s="25">
        <v>59163</v>
      </c>
      <c r="H582" s="25">
        <v>10057.709999999999</v>
      </c>
      <c r="I582" s="25">
        <v>41709.919999999998</v>
      </c>
      <c r="J582" s="26">
        <v>62250.400000000001</v>
      </c>
    </row>
    <row r="583" spans="1:10" ht="21" customHeight="1">
      <c r="A583" s="27">
        <v>45992</v>
      </c>
      <c r="B583" s="28" t="s">
        <v>40</v>
      </c>
      <c r="C583" s="28" t="s">
        <v>35</v>
      </c>
      <c r="D583" s="28" t="s">
        <v>57</v>
      </c>
      <c r="E583" s="29">
        <v>140</v>
      </c>
      <c r="F583" s="29">
        <v>420</v>
      </c>
      <c r="G583" s="30">
        <v>61131</v>
      </c>
      <c r="H583" s="30">
        <v>2139.59</v>
      </c>
      <c r="I583" s="30">
        <v>37289.910000000003</v>
      </c>
      <c r="J583" s="31">
        <v>63821.72</v>
      </c>
    </row>
    <row r="584" spans="1:10" ht="21" customHeight="1">
      <c r="A584" s="32">
        <v>45992</v>
      </c>
      <c r="B584" s="33" t="s">
        <v>40</v>
      </c>
      <c r="C584" s="33" t="s">
        <v>35</v>
      </c>
      <c r="D584" s="33" t="s">
        <v>58</v>
      </c>
      <c r="E584" s="34">
        <v>164</v>
      </c>
      <c r="F584" s="34">
        <v>492</v>
      </c>
      <c r="G584" s="35">
        <v>71610.600000000006</v>
      </c>
      <c r="H584" s="35">
        <v>5012.74</v>
      </c>
      <c r="I584" s="35">
        <v>43682.47</v>
      </c>
      <c r="J584" s="36">
        <v>69707.87</v>
      </c>
    </row>
  </sheetData>
  <mergeCells count="5">
    <mergeCell ref="A2:J2"/>
    <mergeCell ref="A3:J3"/>
    <mergeCell ref="A4:J4"/>
    <mergeCell ref="A5:J5"/>
    <mergeCell ref="A6:J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Dashboard</vt:lpstr>
      <vt:lpstr>Analysis</vt:lpstr>
      <vt:lpstr>Data</vt:lpstr>
      <vt:lpstr>Dashboard!Print_Area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Edmonds</cp:lastModifiedBy>
  <dcterms:modified xsi:type="dcterms:W3CDTF">2026-09-08T17:37:56Z</dcterms:modified>
</cp:coreProperties>
</file>